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830" yWindow="45" windowWidth="20295" windowHeight="11715" activeTab="9"/>
  </bookViews>
  <sheets>
    <sheet name="Заячья Горка" sheetId="6" r:id="rId1"/>
    <sheet name="Блочная" sheetId="5" r:id="rId2"/>
    <sheet name="Екатеринбург-Тов." sheetId="7" r:id="rId3"/>
    <sheet name="Войновка" sheetId="8" r:id="rId4"/>
    <sheet name="Сургут" sheetId="9" r:id="rId5"/>
    <sheet name="Нижневартовск" sheetId="10" r:id="rId6"/>
    <sheet name="Курган" sheetId="11" r:id="rId7"/>
    <sheet name="Оренбург" sheetId="12" r:id="rId8"/>
    <sheet name="Челябинск" sheetId="13" r:id="rId9"/>
    <sheet name="Магнитогорск" sheetId="14" r:id="rId10"/>
  </sheets>
  <externalReferences>
    <externalReference r:id="rId11"/>
  </externalReferences>
  <calcPr calcId="145621" refMode="R1C1"/>
  <fileRecoveryPr autoRecover="0"/>
</workbook>
</file>

<file path=xl/calcChain.xml><?xml version="1.0" encoding="utf-8"?>
<calcChain xmlns="http://schemas.openxmlformats.org/spreadsheetml/2006/main">
  <c r="G152" i="5" l="1"/>
  <c r="G151" i="5"/>
  <c r="G150" i="5"/>
  <c r="G148" i="5"/>
  <c r="G147" i="5"/>
  <c r="G146" i="5"/>
  <c r="G139" i="5"/>
  <c r="G137" i="5"/>
  <c r="G136" i="5"/>
  <c r="G135" i="5"/>
  <c r="G134" i="5"/>
  <c r="G133" i="5"/>
  <c r="G131" i="5"/>
  <c r="G130" i="5"/>
  <c r="G129" i="5"/>
  <c r="G128" i="5"/>
  <c r="G126" i="5"/>
  <c r="G125" i="5"/>
  <c r="G124" i="5"/>
  <c r="G122" i="5"/>
  <c r="G121" i="5"/>
  <c r="G120" i="5"/>
  <c r="G118" i="5"/>
  <c r="G117" i="5"/>
  <c r="G115" i="5"/>
  <c r="G114" i="5"/>
  <c r="G113" i="5"/>
  <c r="G112" i="5"/>
  <c r="F111" i="5"/>
  <c r="G111" i="5" s="1"/>
  <c r="F110" i="5"/>
  <c r="G110" i="5" s="1"/>
  <c r="F109" i="5"/>
  <c r="G109" i="5" s="1"/>
  <c r="G108" i="5"/>
  <c r="G107" i="5"/>
  <c r="G106" i="5"/>
  <c r="F102" i="5"/>
  <c r="G102" i="5" s="1"/>
  <c r="F101" i="5"/>
  <c r="F104" i="5" s="1"/>
  <c r="G104" i="5" s="1"/>
  <c r="F100" i="5"/>
  <c r="F103" i="5" s="1"/>
  <c r="G103" i="5" s="1"/>
  <c r="G99" i="5"/>
  <c r="G98" i="5"/>
  <c r="G97" i="5"/>
  <c r="G95" i="5"/>
  <c r="G94" i="5"/>
  <c r="G93" i="5"/>
  <c r="G92" i="5"/>
  <c r="G91" i="5"/>
  <c r="G90" i="5"/>
  <c r="G89" i="5"/>
  <c r="G86" i="5"/>
  <c r="G85" i="5"/>
  <c r="G84" i="5"/>
  <c r="G83" i="5"/>
  <c r="G82" i="5"/>
  <c r="G81" i="5"/>
  <c r="G80" i="5"/>
  <c r="G79" i="5"/>
  <c r="F71" i="5"/>
  <c r="G71" i="5" s="1"/>
  <c r="F70" i="5"/>
  <c r="G70" i="5" s="1"/>
  <c r="F69" i="5"/>
  <c r="G69" i="5" s="1"/>
  <c r="F68" i="5"/>
  <c r="G68" i="5" s="1"/>
  <c r="F67" i="5"/>
  <c r="G67" i="5" s="1"/>
  <c r="F66" i="5"/>
  <c r="G66" i="5" s="1"/>
  <c r="F65" i="5"/>
  <c r="G65" i="5" s="1"/>
  <c r="F64" i="5"/>
  <c r="G64" i="5" s="1"/>
  <c r="F63" i="5"/>
  <c r="G63" i="5" s="1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F105" i="5" l="1"/>
  <c r="G105" i="5" s="1"/>
  <c r="G100" i="5"/>
  <c r="G101" i="5"/>
  <c r="F180" i="14" l="1"/>
  <c r="G180" i="14" s="1"/>
  <c r="F179" i="14"/>
  <c r="G179" i="14" s="1"/>
  <c r="F178" i="14"/>
  <c r="G178" i="14" s="1"/>
  <c r="F172" i="14"/>
  <c r="G172" i="14" s="1"/>
  <c r="G176" i="14"/>
  <c r="G175" i="14"/>
  <c r="F162" i="14"/>
  <c r="G162" i="14" s="1"/>
  <c r="F161" i="14"/>
  <c r="G161" i="14" s="1"/>
  <c r="F160" i="14"/>
  <c r="G160" i="14" s="1"/>
  <c r="F158" i="14"/>
  <c r="G158" i="14" s="1"/>
  <c r="F156" i="14"/>
  <c r="G156" i="14" s="1"/>
  <c r="F155" i="14"/>
  <c r="G155" i="14" s="1"/>
  <c r="F154" i="14"/>
  <c r="G154" i="14" s="1"/>
  <c r="F153" i="14"/>
  <c r="G153" i="14" s="1"/>
  <c r="F152" i="14"/>
  <c r="G152" i="14" s="1"/>
  <c r="F151" i="14"/>
  <c r="G151" i="14" s="1"/>
  <c r="F150" i="14"/>
  <c r="G150" i="14" s="1"/>
  <c r="F148" i="14"/>
  <c r="G148" i="14" s="1"/>
  <c r="F146" i="14"/>
  <c r="G146" i="14" s="1"/>
  <c r="F145" i="14"/>
  <c r="G145" i="14" s="1"/>
  <c r="F144" i="14"/>
  <c r="G144" i="14" s="1"/>
  <c r="F143" i="14"/>
  <c r="G143" i="14" s="1"/>
  <c r="F141" i="14"/>
  <c r="G141" i="14" s="1"/>
  <c r="F140" i="14"/>
  <c r="G140" i="14" s="1"/>
  <c r="F137" i="14"/>
  <c r="G137" i="14" s="1"/>
  <c r="F136" i="14"/>
  <c r="G136" i="14" s="1"/>
  <c r="F135" i="14"/>
  <c r="G135" i="14" s="1"/>
  <c r="F133" i="14"/>
  <c r="G133" i="14" s="1"/>
  <c r="F132" i="14"/>
  <c r="G132" i="14" s="1"/>
  <c r="F131" i="14"/>
  <c r="G131" i="14" s="1"/>
  <c r="F130" i="14"/>
  <c r="G130" i="14" s="1"/>
  <c r="F129" i="14"/>
  <c r="G129" i="14" s="1"/>
  <c r="F128" i="14"/>
  <c r="G128" i="14" s="1"/>
  <c r="F127" i="14"/>
  <c r="G127" i="14" s="1"/>
  <c r="F126" i="14"/>
  <c r="G126" i="14" s="1"/>
  <c r="F125" i="14"/>
  <c r="G125" i="14" s="1"/>
  <c r="F124" i="14"/>
  <c r="G124" i="14" s="1"/>
  <c r="F123" i="14"/>
  <c r="G123" i="14" s="1"/>
  <c r="F122" i="14"/>
  <c r="G122" i="14" s="1"/>
  <c r="F121" i="14"/>
  <c r="G121" i="14" s="1"/>
  <c r="F120" i="14"/>
  <c r="G120" i="14" s="1"/>
  <c r="F119" i="14"/>
  <c r="G119" i="14" s="1"/>
  <c r="F117" i="14"/>
  <c r="G117" i="14" s="1"/>
  <c r="F116" i="14"/>
  <c r="G116" i="14" s="1"/>
  <c r="F115" i="14"/>
  <c r="G115" i="14" s="1"/>
  <c r="F114" i="14"/>
  <c r="G114" i="14" s="1"/>
  <c r="F113" i="14"/>
  <c r="G113" i="14" s="1"/>
  <c r="F112" i="14"/>
  <c r="G112" i="14" s="1"/>
  <c r="F111" i="14"/>
  <c r="G111" i="14" s="1"/>
  <c r="F110" i="14"/>
  <c r="G110" i="14" s="1"/>
  <c r="F109" i="14"/>
  <c r="G109" i="14" s="1"/>
  <c r="G101" i="14"/>
  <c r="G100" i="14"/>
  <c r="G99" i="14"/>
  <c r="G98" i="14"/>
  <c r="G97" i="14"/>
  <c r="G96" i="14"/>
  <c r="G95" i="14"/>
  <c r="G94" i="14"/>
  <c r="G88" i="14"/>
  <c r="G87" i="14"/>
  <c r="G86" i="14"/>
  <c r="G85" i="14"/>
  <c r="G84" i="14"/>
  <c r="G83" i="14"/>
  <c r="G82" i="14"/>
  <c r="G81" i="14"/>
  <c r="F75" i="14"/>
  <c r="G75" i="14" s="1"/>
  <c r="F74" i="14"/>
  <c r="G74" i="14" s="1"/>
  <c r="F73" i="14"/>
  <c r="G73" i="14" s="1"/>
  <c r="F72" i="14"/>
  <c r="G72" i="14" s="1"/>
  <c r="F71" i="14"/>
  <c r="G71" i="14" s="1"/>
  <c r="F70" i="14"/>
  <c r="G70" i="14" s="1"/>
  <c r="F69" i="14"/>
  <c r="G69" i="14" s="1"/>
  <c r="F68" i="14"/>
  <c r="G68" i="14" s="1"/>
  <c r="F67" i="14"/>
  <c r="G67" i="14" s="1"/>
  <c r="F66" i="14"/>
  <c r="G66" i="14" s="1"/>
  <c r="F65" i="14"/>
  <c r="G65" i="14" s="1"/>
  <c r="F64" i="14"/>
  <c r="G64" i="14" s="1"/>
  <c r="F63" i="14"/>
  <c r="G63" i="14" s="1"/>
  <c r="F62" i="14"/>
  <c r="G62" i="14" s="1"/>
  <c r="F61" i="14"/>
  <c r="G61" i="14" s="1"/>
  <c r="F60" i="14"/>
  <c r="G60" i="14" s="1"/>
  <c r="F59" i="14"/>
  <c r="G59" i="14" s="1"/>
  <c r="F58" i="14"/>
  <c r="G58" i="14" s="1"/>
  <c r="F57" i="14"/>
  <c r="G57" i="14" s="1"/>
  <c r="F56" i="14"/>
  <c r="G56" i="14" s="1"/>
  <c r="F55" i="14"/>
  <c r="G55" i="14" s="1"/>
  <c r="F54" i="14"/>
  <c r="G54" i="14" s="1"/>
  <c r="F53" i="14"/>
  <c r="G53" i="14" s="1"/>
  <c r="F52" i="14"/>
  <c r="G52" i="14" s="1"/>
  <c r="F51" i="14"/>
  <c r="G51" i="14" s="1"/>
  <c r="F50" i="14"/>
  <c r="G50" i="14" s="1"/>
  <c r="F49" i="14"/>
  <c r="G49" i="14" s="1"/>
  <c r="F48" i="14"/>
  <c r="G48" i="14" s="1"/>
  <c r="F47" i="14"/>
  <c r="G47" i="14" s="1"/>
  <c r="F46" i="14"/>
  <c r="G46" i="14" s="1"/>
  <c r="F45" i="14"/>
  <c r="G45" i="14" s="1"/>
  <c r="F44" i="14"/>
  <c r="G44" i="14" s="1"/>
  <c r="F43" i="14"/>
  <c r="G43" i="14" s="1"/>
  <c r="F42" i="14"/>
  <c r="G42" i="14" s="1"/>
  <c r="F41" i="14"/>
  <c r="G41" i="14" s="1"/>
  <c r="F40" i="14"/>
  <c r="G40" i="14" s="1"/>
  <c r="F39" i="14"/>
  <c r="G39" i="14" s="1"/>
  <c r="F38" i="14"/>
  <c r="G38" i="14" s="1"/>
  <c r="F37" i="14"/>
  <c r="G37" i="14" s="1"/>
  <c r="F36" i="14"/>
  <c r="G36" i="14" s="1"/>
  <c r="F35" i="14"/>
  <c r="G35" i="14" s="1"/>
  <c r="F34" i="14"/>
  <c r="G34" i="14" s="1"/>
  <c r="F33" i="14"/>
  <c r="G33" i="14" s="1"/>
  <c r="F32" i="14"/>
  <c r="G32" i="14" s="1"/>
  <c r="F31" i="14"/>
  <c r="G31" i="14" s="1"/>
  <c r="F30" i="14"/>
  <c r="G30" i="14" s="1"/>
  <c r="F29" i="14"/>
  <c r="G29" i="14" s="1"/>
  <c r="F28" i="14"/>
  <c r="G28" i="14" s="1"/>
  <c r="F27" i="14"/>
  <c r="G27" i="14" s="1"/>
  <c r="F26" i="14"/>
  <c r="G26" i="14" s="1"/>
  <c r="F25" i="14"/>
  <c r="G25" i="14" s="1"/>
  <c r="G206" i="13" l="1"/>
  <c r="G205" i="13"/>
  <c r="G204" i="13"/>
  <c r="G203" i="13"/>
  <c r="G202" i="13"/>
  <c r="G190" i="13"/>
  <c r="G189" i="13"/>
  <c r="G187" i="13"/>
  <c r="G184" i="13"/>
  <c r="G183" i="13"/>
  <c r="G182" i="13"/>
  <c r="G181" i="13"/>
  <c r="G180" i="13"/>
  <c r="G178" i="13"/>
  <c r="G177" i="13"/>
  <c r="G175" i="13"/>
  <c r="G173" i="13"/>
  <c r="G172" i="13"/>
  <c r="G171" i="13"/>
  <c r="G170" i="13"/>
  <c r="G169" i="13"/>
  <c r="G167" i="13"/>
  <c r="G166" i="13"/>
  <c r="G165" i="13"/>
  <c r="G163" i="13"/>
  <c r="G162" i="13"/>
  <c r="G161" i="13"/>
  <c r="G159" i="13"/>
  <c r="G158" i="13"/>
  <c r="G157" i="13"/>
  <c r="G156" i="13"/>
  <c r="G155" i="13"/>
  <c r="G154" i="13"/>
  <c r="G153" i="13"/>
  <c r="G152" i="13"/>
  <c r="G151" i="13"/>
  <c r="G150" i="13"/>
  <c r="G149" i="13"/>
  <c r="G148" i="13"/>
  <c r="G147" i="13"/>
  <c r="G146" i="13"/>
  <c r="G145" i="13"/>
  <c r="G144" i="13"/>
  <c r="G143" i="13"/>
  <c r="G142" i="13"/>
  <c r="G141" i="13"/>
  <c r="G140" i="13"/>
  <c r="G139" i="13"/>
  <c r="G138" i="13"/>
  <c r="G137" i="13"/>
  <c r="G135" i="13"/>
  <c r="G134" i="13"/>
  <c r="G133" i="13"/>
  <c r="G132" i="13"/>
  <c r="G130" i="13"/>
  <c r="G129" i="13"/>
  <c r="G127" i="13"/>
  <c r="G121" i="13"/>
  <c r="G120" i="13"/>
  <c r="G119" i="13"/>
  <c r="G118" i="13"/>
  <c r="G117" i="13"/>
  <c r="G116" i="13"/>
  <c r="G115" i="13"/>
  <c r="G114" i="13"/>
  <c r="F106" i="13"/>
  <c r="G106" i="13" s="1"/>
  <c r="F105" i="13"/>
  <c r="G105" i="13" s="1"/>
  <c r="F104" i="13"/>
  <c r="G104" i="13" s="1"/>
  <c r="F103" i="13"/>
  <c r="G103" i="13" s="1"/>
  <c r="F102" i="13"/>
  <c r="G102" i="13" s="1"/>
  <c r="F101" i="13"/>
  <c r="G101" i="13" s="1"/>
  <c r="F100" i="13"/>
  <c r="G100" i="13" s="1"/>
  <c r="F99" i="13"/>
  <c r="G99" i="13" s="1"/>
  <c r="G94" i="13"/>
  <c r="G93" i="13"/>
  <c r="G92" i="13"/>
  <c r="G91" i="13"/>
  <c r="G90" i="13"/>
  <c r="G89" i="13"/>
  <c r="G88" i="13"/>
  <c r="G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80" i="12"/>
  <c r="G79" i="12"/>
  <c r="G77" i="12"/>
  <c r="G69" i="12"/>
  <c r="G67" i="12"/>
  <c r="G65" i="12"/>
  <c r="G63" i="12"/>
  <c r="G62" i="12"/>
  <c r="G60" i="12"/>
  <c r="G59" i="12"/>
  <c r="G58" i="12"/>
  <c r="G57" i="12"/>
  <c r="G56" i="12"/>
  <c r="G50" i="12"/>
  <c r="G49" i="12"/>
  <c r="G48" i="12"/>
  <c r="G47" i="12"/>
  <c r="G46" i="12"/>
  <c r="G45" i="12"/>
  <c r="G44" i="12"/>
  <c r="G43" i="12"/>
  <c r="G32" i="12"/>
  <c r="G31" i="12"/>
  <c r="G30" i="12"/>
  <c r="G29" i="12"/>
  <c r="G28" i="12"/>
  <c r="G27" i="12"/>
  <c r="G26" i="12"/>
  <c r="G25" i="12"/>
  <c r="G135" i="11" l="1"/>
  <c r="G134" i="11"/>
  <c r="G133" i="11"/>
  <c r="G131" i="11"/>
  <c r="G130" i="11"/>
  <c r="G128" i="11"/>
  <c r="G116" i="11"/>
  <c r="G115" i="11"/>
  <c r="G114" i="11"/>
  <c r="G113" i="11"/>
  <c r="G112" i="11"/>
  <c r="G111" i="11"/>
  <c r="G109" i="11"/>
  <c r="G107" i="11"/>
  <c r="G105" i="11"/>
  <c r="G104" i="11"/>
  <c r="G103" i="11"/>
  <c r="G101" i="11"/>
  <c r="G100" i="11"/>
  <c r="G97" i="11"/>
  <c r="G96" i="11"/>
  <c r="G95" i="11"/>
  <c r="G94" i="11"/>
  <c r="G93" i="11"/>
  <c r="G92" i="11"/>
  <c r="G91" i="11"/>
  <c r="G89" i="11"/>
  <c r="G88" i="11"/>
  <c r="G87" i="11"/>
  <c r="G86" i="11"/>
  <c r="G85" i="11"/>
  <c r="G79" i="11"/>
  <c r="G78" i="11"/>
  <c r="G77" i="11"/>
  <c r="G76" i="11"/>
  <c r="G75" i="11"/>
  <c r="G74" i="11"/>
  <c r="G73" i="11"/>
  <c r="G72" i="11"/>
  <c r="G61" i="11"/>
  <c r="G60" i="11"/>
  <c r="G59" i="11"/>
  <c r="G58" i="11"/>
  <c r="G57" i="11"/>
  <c r="G56" i="11"/>
  <c r="G55" i="11"/>
  <c r="G54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84" i="10"/>
  <c r="G83" i="10"/>
  <c r="G81" i="10"/>
  <c r="G80" i="10"/>
  <c r="G79" i="10"/>
  <c r="G78" i="10"/>
  <c r="G76" i="10"/>
  <c r="G69" i="10"/>
  <c r="G67" i="10"/>
  <c r="G65" i="10"/>
  <c r="G64" i="10"/>
  <c r="G62" i="10"/>
  <c r="G61" i="10"/>
  <c r="G59" i="10"/>
  <c r="G57" i="10"/>
  <c r="G56" i="10"/>
  <c r="G55" i="10"/>
  <c r="G53" i="10"/>
  <c r="G52" i="10"/>
  <c r="G48" i="10"/>
  <c r="G47" i="10"/>
  <c r="G46" i="10"/>
  <c r="G45" i="10"/>
  <c r="G44" i="10"/>
  <c r="G43" i="10"/>
  <c r="G42" i="10"/>
  <c r="G41" i="10"/>
  <c r="G36" i="10"/>
  <c r="G35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89" i="8"/>
  <c r="G87" i="8"/>
  <c r="G85" i="8"/>
  <c r="G84" i="8"/>
  <c r="G82" i="8"/>
  <c r="G81" i="8"/>
  <c r="G80" i="8"/>
  <c r="G79" i="8"/>
  <c r="G78" i="8"/>
  <c r="G72" i="8"/>
  <c r="G71" i="8"/>
  <c r="F56" i="8"/>
  <c r="G56" i="8" s="1"/>
  <c r="F55" i="8"/>
  <c r="G55" i="8" s="1"/>
  <c r="F54" i="8"/>
  <c r="G54" i="8" s="1"/>
  <c r="F53" i="8"/>
  <c r="G53" i="8" s="1"/>
  <c r="F52" i="8"/>
  <c r="G52" i="8" s="1"/>
  <c r="F51" i="8"/>
  <c r="G51" i="8" s="1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114" i="7" l="1"/>
  <c r="G113" i="7"/>
  <c r="G69" i="6" l="1"/>
  <c r="G68" i="6"/>
  <c r="G59" i="6"/>
  <c r="G57" i="6"/>
  <c r="G55" i="6"/>
  <c r="G54" i="6"/>
  <c r="G49" i="6"/>
  <c r="G48" i="6"/>
  <c r="G47" i="6"/>
  <c r="G46" i="6"/>
  <c r="G45" i="6"/>
  <c r="G44" i="6"/>
  <c r="G43" i="6"/>
  <c r="G42" i="6"/>
  <c r="G33" i="6"/>
  <c r="G32" i="6"/>
  <c r="G30" i="6"/>
  <c r="G29" i="6"/>
  <c r="G28" i="6"/>
  <c r="G27" i="6"/>
  <c r="G26" i="6"/>
</calcChain>
</file>

<file path=xl/sharedStrings.xml><?xml version="1.0" encoding="utf-8"?>
<sst xmlns="http://schemas.openxmlformats.org/spreadsheetml/2006/main" count="3402" uniqueCount="731">
  <si>
    <t>УТВЕРЖДАЮ</t>
  </si>
  <si>
    <t>ПАО «ТрансКонтейнер»</t>
  </si>
  <si>
    <t>вагон</t>
  </si>
  <si>
    <t>документ</t>
  </si>
  <si>
    <t>№ п/п</t>
  </si>
  <si>
    <t>Наименование работ и услуг</t>
  </si>
  <si>
    <t>Единицы измерения</t>
  </si>
  <si>
    <t>Код услуги ЕПУ ТК</t>
  </si>
  <si>
    <t xml:space="preserve">Типоразмер контейнера </t>
  </si>
  <si>
    <t>Примечание</t>
  </si>
  <si>
    <t>ПРАЙС-ЛИСТ</t>
  </si>
  <si>
    <t>контейнер</t>
  </si>
  <si>
    <t>20 фут</t>
  </si>
  <si>
    <t>40 фут</t>
  </si>
  <si>
    <t>расчетная</t>
  </si>
  <si>
    <t>1</t>
  </si>
  <si>
    <t>3</t>
  </si>
  <si>
    <t>4</t>
  </si>
  <si>
    <t>2</t>
  </si>
  <si>
    <t>1. Комплексные транспортно-экспедиционные услуги</t>
  </si>
  <si>
    <t>1.01.</t>
  </si>
  <si>
    <t xml:space="preserve"> Комплексное транспортно-экспедиторское обслуживание на маршруте перевозки. </t>
  </si>
  <si>
    <t>1.01.01.</t>
  </si>
  <si>
    <t>1.02.01.</t>
  </si>
  <si>
    <t>1.02.02.</t>
  </si>
  <si>
    <t>Организация перевозки контейнеров/грузов автомобильным транспортом.</t>
  </si>
  <si>
    <t>1.02.03</t>
  </si>
  <si>
    <t>1.02.04.</t>
  </si>
  <si>
    <t>5</t>
  </si>
  <si>
    <t>Организация обработки контейнеров/грузов на терминалах/в портах/в депо (контейнер ПАО "ТрансКонтейнер")</t>
  </si>
  <si>
    <t>Вес брутто до 24 тн</t>
  </si>
  <si>
    <t>Организация обработки контейнеров/грузов на терминалах/в портах/в депо (контейнер иной собственности)</t>
  </si>
  <si>
    <t>6</t>
  </si>
  <si>
    <t>1.02.05.</t>
  </si>
  <si>
    <t>Организация обработки контейнеров/грузов при мультимодальной перевозке</t>
  </si>
  <si>
    <t xml:space="preserve"> 2. Дополнительные транспортно-экспедиторские услуги.</t>
  </si>
  <si>
    <t>2.01.</t>
  </si>
  <si>
    <t xml:space="preserve"> Оперирование подвижным составом и парком контейнеров</t>
  </si>
  <si>
    <t>Предоставление вагона/контейнера иного собственника для перевозки груза</t>
  </si>
  <si>
    <t>8</t>
  </si>
  <si>
    <t>конт.*сутки</t>
  </si>
  <si>
    <t>вагон.*сутки</t>
  </si>
  <si>
    <t>2.01.03.</t>
  </si>
  <si>
    <t>Предоставление вагона/ контейнера для дополнительных операций, связанных с перевозкой грузов/ контейнеров.</t>
  </si>
  <si>
    <t>2.02.04.</t>
  </si>
  <si>
    <t>количество (типовое)</t>
  </si>
  <si>
    <t>2.03.</t>
  </si>
  <si>
    <t>Платежно-финансовые и прочие экспедиторские услуги:</t>
  </si>
  <si>
    <t>2.03.05.</t>
  </si>
  <si>
    <t>Осуществление расчетных операций за сопровождение и охрану груза в пути следования железнодорожным транспортом</t>
  </si>
  <si>
    <t xml:space="preserve"> Организация перевозки контейнеров/грузов морским (речным) транспортом</t>
  </si>
  <si>
    <t>Прочие платежно-финансовые и иные экспедиторские услуги</t>
  </si>
  <si>
    <t>Рассчитывается согласно указанной в Заказе информации на перевозку и зависит от направления, расстояния перевозки и  грузоподъемности контейнера.</t>
  </si>
  <si>
    <t>Рассчитывается согласно указанной в Заказе информации на перевозку и зависит от направления, расстояния перевозки и  грузоподъемности контейнера, а также включает в себя услуги из раздела 1.02.01 - 1.02.05</t>
  </si>
  <si>
    <t>2.03.04</t>
  </si>
  <si>
    <t>Организация переадресовки грузов</t>
  </si>
  <si>
    <t>все типы контейнеров</t>
  </si>
  <si>
    <t>Комплексное транспортно-экспедиторское обслуживание на маршруте перевозки контейнеров/грузов</t>
  </si>
  <si>
    <t>Организация  перевозки контейнеров/грузов железнодорожным транспортом</t>
  </si>
  <si>
    <t xml:space="preserve"> Оформление за Клиента в информационных системах заказа на транспортно-экспедиторские услуги.</t>
  </si>
  <si>
    <t>7</t>
  </si>
  <si>
    <t xml:space="preserve"> Ставка по  предоставлению вагона за шестые и последующие сутки,при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</si>
  <si>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Директор Уральского филиала</t>
  </si>
  <si>
    <t>количество типовое</t>
  </si>
  <si>
    <t xml:space="preserve">выдача справок о стоимости услуг </t>
  </si>
  <si>
    <t>Согласовано :</t>
  </si>
  <si>
    <t>Начальник отдела логистики</t>
  </si>
  <si>
    <t>Н.В. Буиклы</t>
  </si>
  <si>
    <t>Начальник планово - экономического отдела</t>
  </si>
  <si>
    <t>Н.Б Можарова</t>
  </si>
  <si>
    <t xml:space="preserve"> зона 002 (на расстояние от 11 до 30 км включительно)</t>
  </si>
  <si>
    <t xml:space="preserve"> зона 003 (на расстояние от 46 до 100 км включительно) </t>
  </si>
  <si>
    <t xml:space="preserve"> зона 004 (на расстояние от 31 до 35 км включительно)</t>
  </si>
  <si>
    <t xml:space="preserve"> зона 005 (на расстояние от 36 до 45 км включительно)</t>
  </si>
  <si>
    <t>в зависимости от рода груза и количества контейнеров/вагонов в охраняемой группе</t>
  </si>
  <si>
    <t>Начальник Агентства на станции Березники</t>
  </si>
  <si>
    <t>Организация обработки контейнеров / грузов</t>
  </si>
  <si>
    <t xml:space="preserve">Предоставление запорно-пломбировочного устройства    </t>
  </si>
  <si>
    <t xml:space="preserve">Услуги  с учетом  времени погрузки и выгрузки контейнеров Клиентом не превышающим:  20 фут - 3 часа. Зональность автоперевозки определяется "Списком расстояний по зонам до клиентов от станции Заячья горка".   Ограничение по весу: для 20- футовых контейнеров до 20 тонн брутто                         </t>
  </si>
  <si>
    <t>________________  А.А. Кривошапкин</t>
  </si>
  <si>
    <t>Ставка по предоставлению вагона за первые - пятые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</si>
  <si>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2.02.</t>
  </si>
  <si>
    <t>Услуги терминалов, портов, депо:</t>
  </si>
  <si>
    <t>2.02.01.</t>
  </si>
  <si>
    <t>Дополнительные погрузочно-разгрузочные работы с контейнерами/грузами</t>
  </si>
  <si>
    <t>конт*опер</t>
  </si>
  <si>
    <t>с порожними контейнерами/грузами при отправлении/прибытии</t>
  </si>
  <si>
    <t>2.02.02.</t>
  </si>
  <si>
    <t>Хранение контейнеров/грузов</t>
  </si>
  <si>
    <t>конт*суток</t>
  </si>
  <si>
    <t>В случае   использования контейнеров собственности железнодорожных администраций стран СНГ ставка пользования контейнером расчитывается в соответствии с Тарифным руководством ОАО "РЖД".</t>
  </si>
  <si>
    <t>ваг*сутки</t>
  </si>
  <si>
    <t>Ставка расчетная</t>
  </si>
  <si>
    <t>Внесение по инициативе грузоотправителя или организации, осуществляющей перевалку грузов, изменений в принятые заявки на перевозки грузов. Расчитывается и взыскивается согласнотарифного руководства №1,2,3 и/или на основании других нормативных документов ОАО"РЖД"</t>
  </si>
  <si>
    <t>Прочие услуги терминалов/портов/депо</t>
  </si>
  <si>
    <t>Рассчитывается  и взыскивается  на основании нормативных документов ОАО "РЖД".</t>
  </si>
  <si>
    <t xml:space="preserve">Заместитель директора филиала по продажам и коммерции </t>
  </si>
  <si>
    <t>С.В. Казакова</t>
  </si>
  <si>
    <t xml:space="preserve">20 фут </t>
  </si>
  <si>
    <t>Ставка по предоставлению контейнера за первые - десятые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</si>
  <si>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Ставка по предоставлению контейнера  за одиннадцатые - двадцатые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</si>
  <si>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Ставка по предоставлению контейнера  за двадцать первые и последующие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</si>
  <si>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 xml:space="preserve">40 фут </t>
  </si>
  <si>
    <t xml:space="preserve"> "Клещ-60СЦ", ЛаВРик</t>
  </si>
  <si>
    <t xml:space="preserve">на услуги по организации транспортно-экспедиционного обслуживания, предоставляемые  </t>
  </si>
  <si>
    <t>Уральским филиалом ПАО "ТрансКонтейнер" по Контейнерному терминалу Блочная</t>
  </si>
  <si>
    <t xml:space="preserve">действующий с 01 марта 2024 года (стоимость в рублях )    </t>
  </si>
  <si>
    <t>Ставка расчётная</t>
  </si>
  <si>
    <t>1.02.</t>
  </si>
  <si>
    <t>Комплексные транспортно-экспедиторские услуги на плечах перевозки</t>
  </si>
  <si>
    <t xml:space="preserve">Организация  перевозки контейнеров/грузов железнодорожным транспортом </t>
  </si>
  <si>
    <t xml:space="preserve">1.02.03. </t>
  </si>
  <si>
    <t>Зона 014 (1-14 км)</t>
  </si>
  <si>
    <t xml:space="preserve">Норма времени на загрузку-выгрузку контейнера с момента подачи автомобиля с контейнером 20 фут - 3 часа, 40-фут – 4 часа.      </t>
  </si>
  <si>
    <t>Зона 024 (15-24 км)</t>
  </si>
  <si>
    <t>Зона 034 (25-34 км)</t>
  </si>
  <si>
    <t>Зона 044 (35-44 км)</t>
  </si>
  <si>
    <t>Зона 054 (45-54 км)</t>
  </si>
  <si>
    <t>Зона 065 (55-65 км)</t>
  </si>
  <si>
    <t>Зона 0100 (66-100 км)</t>
  </si>
  <si>
    <t>Зона 0150 (101-150 км)</t>
  </si>
  <si>
    <t>Зона 0200 (151-200 км)</t>
  </si>
  <si>
    <t>Зона 0250 (201-250 км)</t>
  </si>
  <si>
    <t>Зона 0300 (251-300 км)</t>
  </si>
  <si>
    <t>Зона 0350 (301-350 км)</t>
  </si>
  <si>
    <t>Зона 0400 (351-400 км)</t>
  </si>
  <si>
    <t>Зона 0500 (401-500 км)</t>
  </si>
  <si>
    <t>Зона 004 (1-14 км)</t>
  </si>
  <si>
    <t xml:space="preserve">Забор/сдача порожнего контейнера в депо собственника </t>
  </si>
  <si>
    <t>Зона 000 (0-1 км)</t>
  </si>
  <si>
    <t>Без учета ожидания</t>
  </si>
  <si>
    <t xml:space="preserve">Организация обработки контейнеров/грузов на терминалах/в портах/в депо </t>
  </si>
  <si>
    <t>Погрузочно-разгрузочные работы с контейнерами/грузами</t>
  </si>
  <si>
    <t xml:space="preserve">1.02.06. </t>
  </si>
  <si>
    <t>с весом брутто не более 24тн</t>
  </si>
  <si>
    <t>с весом брутто более 24тн</t>
  </si>
  <si>
    <t>контейнер иной собственности с весом брутто не более 24тн</t>
  </si>
  <si>
    <t>контейнер иной собственности с весом брутто более 24тн</t>
  </si>
  <si>
    <t>контейнер иной собственности</t>
  </si>
  <si>
    <t>контейнер иной собственности порожний</t>
  </si>
  <si>
    <t>2.01.01.</t>
  </si>
  <si>
    <t xml:space="preserve">вагоно*суток </t>
  </si>
  <si>
    <t xml:space="preserve">  Ставка по предоставлению вагона за первые - пятые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</si>
  <si>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 xml:space="preserve"> Погрузочно-разгрузочные работы с контейнерами/грузами</t>
  </si>
  <si>
    <t>20фут</t>
  </si>
  <si>
    <t>порожний</t>
  </si>
  <si>
    <t>Хранение контейнеров/грузов  (диапазон 
с 1-х по 3 сутки)</t>
  </si>
  <si>
    <t>конт-сутки</t>
  </si>
  <si>
    <t>45 фут</t>
  </si>
  <si>
    <t>Хранение контейнеров/грузов  (диапазон 
с 4-х по 7 сутки)</t>
  </si>
  <si>
    <t xml:space="preserve"> Применяется  при хранении порожнего  контейнера Клиента на терминале. Неполные сутки (свыше 1 часа) округляются до полных .</t>
  </si>
  <si>
    <t xml:space="preserve">Погрузка/выгрузка груза </t>
  </si>
  <si>
    <t xml:space="preserve"> Погрузка/выгрузка груза в/из контейнера/вагона  </t>
  </si>
  <si>
    <t>тонна</t>
  </si>
  <si>
    <t>Погрузка/выгрузка груза вилочным погрузчиком, в том числе для таможенного досмотра</t>
  </si>
  <si>
    <t>чел*час</t>
  </si>
  <si>
    <t>Погрузка/выгрузка груза ручным способом, в том числе для таможенного досмотра</t>
  </si>
  <si>
    <t xml:space="preserve">Предоставление запорно-пломбировочного устройства:                                                                        </t>
  </si>
  <si>
    <t>Предоставление запорно-пломбировочного устройства</t>
  </si>
  <si>
    <t>"Клещ-60СЦ", "ЛаВРик"</t>
  </si>
  <si>
    <t>"Спрут-777"</t>
  </si>
  <si>
    <t>Закрутка</t>
  </si>
  <si>
    <t>2.02.05.</t>
  </si>
  <si>
    <t>Дооборудование контейнера</t>
  </si>
  <si>
    <t>Установка вкладыша флекси-танка ( услуга не включает стоимость предоставление флекси-танка и реквизита для его размещения и крепления внутри контейнера)</t>
  </si>
  <si>
    <t>Взвешивание контейнера/груза</t>
  </si>
  <si>
    <t>С выдачей сертификата о подтверждении массы брутто контейнера</t>
  </si>
  <si>
    <t>Услуги по обработке грузов, находящихся под таможенным контролем на СВХ (ЗТК)</t>
  </si>
  <si>
    <t>2.02.07.</t>
  </si>
  <si>
    <t>Оформление документов по  процедуре таможенного транзита</t>
  </si>
  <si>
    <t>2.02.08.</t>
  </si>
  <si>
    <t>Услуги по обработке таможенных грузов на СВХ (ЗТК)</t>
  </si>
  <si>
    <t xml:space="preserve"> </t>
  </si>
  <si>
    <t>2.02.09.</t>
  </si>
  <si>
    <t>Прием/выдача контейнеров в/из стоках</t>
  </si>
  <si>
    <t>2.02.10.</t>
  </si>
  <si>
    <t xml:space="preserve">Услуга применяется при использовании контейнерной площадки для погрузки/выгрузки груза на территории контейнерного терминала. </t>
  </si>
  <si>
    <t>очистка контейнеров</t>
  </si>
  <si>
    <t>Крепление/раскрепление грузов</t>
  </si>
  <si>
    <t>Раскрепление контейнеров, прибывших в полувагоне, и очистка полувагона от реквизита крепления</t>
  </si>
  <si>
    <t>20</t>
  </si>
  <si>
    <t>вагон/конт</t>
  </si>
  <si>
    <t>На основании нормативных документов ОАО "РЖД"</t>
  </si>
  <si>
    <t>2.03.06.</t>
  </si>
  <si>
    <t>Осуществление расчетных операций за нахождение вагонов на железнодорожных путях</t>
  </si>
  <si>
    <t xml:space="preserve">                                                                       Прочие  платежно-финансовые и иные экспедиторские услуги </t>
  </si>
  <si>
    <t xml:space="preserve">Прочие  платежно-финансовые и иные экспедиторские услуги </t>
  </si>
  <si>
    <t>все типы</t>
  </si>
  <si>
    <t xml:space="preserve">Выдача справок о стоимости услуг </t>
  </si>
  <si>
    <t>Оформление за Клиента в информационных системах заказа на транспортно-экспедиторские услуги</t>
  </si>
  <si>
    <t>2.04.</t>
  </si>
  <si>
    <t>Автотранспортные услуги</t>
  </si>
  <si>
    <t>2.04.01.</t>
  </si>
  <si>
    <t>Работа автомобиля сверх норматива.</t>
  </si>
  <si>
    <t>конт.*часов</t>
  </si>
  <si>
    <t xml:space="preserve"> Простой автотранспорта сверх нормы до 15 минут не учитывается, свыше 15 минут взыскивается как за полный  час.</t>
  </si>
  <si>
    <t>Пользование полуприцепом сверх норматива</t>
  </si>
  <si>
    <t>Согласовано:</t>
  </si>
  <si>
    <t xml:space="preserve">Начальник  контейнерного терминала Блочная </t>
  </si>
  <si>
    <t>_____________________ А. А. Кривошапкин</t>
  </si>
  <si>
    <t>Стоимость услуги (без НДС)</t>
  </si>
  <si>
    <t xml:space="preserve">Стоимость услуги с НДС 20% </t>
  </si>
  <si>
    <t>Контейнерный терминал Екатеринбург-Товарный</t>
  </si>
  <si>
    <t>1. Комплексные транспортно-экспедиторские услуги</t>
  </si>
  <si>
    <t>Комплексное транспортно-экспедиторское обслуживание на маршруте перевозки контейнеров/грузов.</t>
  </si>
  <si>
    <t>Рассчитывается согласно указанной в Заказе информации на перевозку и зависит от направления, расстояния перевозки и  грузоподъемности контейнера, а также включает в себя услуги из раздела 1.02.01 - 1.02.06</t>
  </si>
  <si>
    <t>40 фут
45 фут</t>
  </si>
  <si>
    <t>Организация перевозки контейнеров/грузов железнодорожным транспортом</t>
  </si>
  <si>
    <t>Организация перевозки контейнеров/грузов морским (речным) транспортом</t>
  </si>
  <si>
    <t>40 фут 
45 фут</t>
  </si>
  <si>
    <t>1.02.03.</t>
  </si>
  <si>
    <t>Организация перевозки контейнеров/грузов автомобильным транспортом</t>
  </si>
  <si>
    <t>010 зона (1-10км)</t>
  </si>
  <si>
    <t>перевозка порожних контейнеров Клиента</t>
  </si>
  <si>
    <t>Стоимость услуги дана с учетом времени на погрузку/выгрузку контейнера: 20 фут - 3 часа, 40-фут – 4 часа. При перевозке с отцепом на складе грузополучателя/грузоотправителя к ставкам организации перевозки автомобильным транспортом дополнительно взыскивается плата за пользование прицепом. Расчет платы ведется с момента отцепа прицепа с контейнером на складе Клиента до момента передачи уведомления о завершении погрузки/выгрузки без учета норматива времени под погрузкой/выгрузкой. При перевозке грузов под таможенным контролем с выездом в зону другого таможенного поста дополнительно взыскивается услуга 2.04.03. Ограничение по весу: для 20 контейнеров до 22 тонн брутто, для 40 футовых контейнеров до 26 тонн брутто. Перевозку опасных грузов не осуществляем.</t>
  </si>
  <si>
    <t>023 зона (11-23км)</t>
  </si>
  <si>
    <t>035 зона (24-35км)</t>
  </si>
  <si>
    <t>050 зона (36-50км)</t>
  </si>
  <si>
    <t>080 зона (51-80км)</t>
  </si>
  <si>
    <t>0110 зона (81-110км)</t>
  </si>
  <si>
    <t>0160 зона (111-160км)</t>
  </si>
  <si>
    <t>0200 зона (161-200км)</t>
  </si>
  <si>
    <t>0250 зона (201-250км)</t>
  </si>
  <si>
    <t>0300 зона (251-300км)</t>
  </si>
  <si>
    <t>0350 зона (301-350км)</t>
  </si>
  <si>
    <t>0400 зона (351-400км)</t>
  </si>
  <si>
    <t>0450 зона (401-450км)</t>
  </si>
  <si>
    <t>0500 зона (451-500км)</t>
  </si>
  <si>
    <t>0550 зона (501-550км)</t>
  </si>
  <si>
    <t>0600 зона (551-600км)</t>
  </si>
  <si>
    <t>0650 зона (601-650км)</t>
  </si>
  <si>
    <t>0700 зона (651-700км)</t>
  </si>
  <si>
    <t>0750 зона (701-750км)</t>
  </si>
  <si>
    <t>0800 зона (751-800км)</t>
  </si>
  <si>
    <t>0850зона (801-850км)</t>
  </si>
  <si>
    <t>0900 зона (851-900км)</t>
  </si>
  <si>
    <t>0950 зона (901-950км)</t>
  </si>
  <si>
    <t>01000 зона (951-1000км)</t>
  </si>
  <si>
    <t>01100 зона (1001-1100км)</t>
  </si>
  <si>
    <t>01200 зона (1101-1200км)</t>
  </si>
  <si>
    <t>01300 зона (1201-1300км)</t>
  </si>
  <si>
    <t>01400 зона (1301-1400км)</t>
  </si>
  <si>
    <t>01500 зона (1401-1500км)</t>
  </si>
  <si>
    <t>1.02.06.</t>
  </si>
  <si>
    <t>Погрузо-разгрузочные работы по отправлению/прибытию</t>
  </si>
  <si>
    <t>Погрузочно-разгрузочные работы по отправлению/прибытию (Контейнер ПАО "ТрансКонтейнер")</t>
  </si>
  <si>
    <t>Вес брутто более 24 тн</t>
  </si>
  <si>
    <t>Погрузочно-разгрузочные работы по отправлению/прибытию (контейнер иной собственности)</t>
  </si>
  <si>
    <t>2. Дополнительные транспортно-экспедиторские услуги.</t>
  </si>
  <si>
    <t>Оперирование подвижным составом и парком контейнеров</t>
  </si>
  <si>
    <t>2.01.01.01.</t>
  </si>
  <si>
    <t>Предоставление вагона иного собственника для перевозки груза</t>
  </si>
  <si>
    <t>2.01.01.02.</t>
  </si>
  <si>
    <t>Предоставление контейнера иного собственника для перевозки груза</t>
  </si>
  <si>
    <t>Предоставление вагона/контейнера для дополнительных операций, связанных с перевозкой грузов/контейнеров</t>
  </si>
  <si>
    <t>конт*сутки</t>
  </si>
  <si>
    <t>Предоставление контейнера  за первые - десятые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</si>
  <si>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Предоставление контейнера  за одинадцатые - двадцатые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</si>
  <si>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Предоставление контейнера за двадцать первые и последующие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</si>
  <si>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40фут</t>
  </si>
  <si>
    <t>Дополнительные погрузочно-разгрузочные работы с контейнерами/грузами.</t>
  </si>
  <si>
    <t>Дополнительные погрузочно-разгрузочные работы с гружеными контейнерами/грузами (вес брутто до 24 тн)</t>
  </si>
  <si>
    <t>СТК</t>
  </si>
  <si>
    <t>Ставка за 1контейнеро-операцию погрузочно-разгрузочных работ КТК 20 фут. до 24 тн. (брутто не выше 24тн) - применяется, в том числе и на груженые контейнеры 20 фут. до 30тн фактический вес брутто которых не превышает 24 тн.
Ставка за 1контейнеро-операцию погрузочно-разгрузочных работ КТК 20 фут. до 30 тн. (брутто выше 24тн) - применяется на груженый контейнер 20 фут. 30 тн. фактический вес брутто которого превышает 24 тн.</t>
  </si>
  <si>
    <t>Дополнительные погрузочно-разгрузочные работы с гружеными контейнерами/грузами (вес брутто свыше 24 тн)</t>
  </si>
  <si>
    <t xml:space="preserve">Дополнительные погрузочно-разгрузочные работы с порожними контейнерами/грузами </t>
  </si>
  <si>
    <t xml:space="preserve">Дополнительные погрузочно-разгрузочные работы с гружеными контейнерами/грузами </t>
  </si>
  <si>
    <t>Ставки применяются при хранении грузов/контейнеров в следующих случаях: - по прибытию после истечения срока бесплатного хранения, установленного Уставом ЖДТ РФ; - по отправлению при завозе груза/контейнера ранее  назначенного дня погрузки. Сбор начисляется с момента фактического завоза груза/контейнера на терминал до момента приема груза/контейнера  к перевозке, а также после выпуска товара в свободное обращение с ноля часов дня, следующего за предъявлением Клиентом перевозочного документа с отметкой таможенного органа    "Выпуск разрешен". Неполные сутки свыше 1(одного) часа округляются до полных.</t>
  </si>
  <si>
    <t>Хранение контейнеров/грузов  (диапазон 
с 8-х по 12 сутки)</t>
  </si>
  <si>
    <t xml:space="preserve">Хранение контейнеров/грузов (диапазон с 13-х суток и далее) </t>
  </si>
  <si>
    <t xml:space="preserve">Хранение контейнеров/грузов </t>
  </si>
  <si>
    <t>с подключением электропитания</t>
  </si>
  <si>
    <t xml:space="preserve"> Применяется  при хранении порожнего  контейнера Клиента на терминале в "депо" (при наличии в заказе услуги "Прием/выдача контейнеров в/из стоках"). Неполные сутки (свыше 1 часа) округляются до полных.</t>
  </si>
  <si>
    <t>Оплачиваемое  время нахождения контейнера  в ЗТК/СВХ ПАО "ТрансКонтейнер»  исчисляется  с ноля часов дня следующего за днем завершения ТПТТ таможенным органом до момента предьявления Клиентом перевозочных  документов  с отметкой о выпуске товара. В случае направления товара на иное СВХ оплачиваемое время исчисляется  с ноля часов дня следующего за днем завершения ТПТТ таможенным органом до момента вывоза  контейнера с Контейнерного терминала. Неполные сутки свыше 1(одного) часа округляются до полных.</t>
  </si>
  <si>
    <t>2.02.03.</t>
  </si>
  <si>
    <t>Погрузка/выгрузка груза</t>
  </si>
  <si>
    <t>чел./час</t>
  </si>
  <si>
    <t>5 тн
20 фут
40 фут</t>
  </si>
  <si>
    <t>Ручным способом, в том числе для таможенного досмотра</t>
  </si>
  <si>
    <t>Механизированным способом</t>
  </si>
  <si>
    <t>ЗПУ «Клещ-60СЦ», "ЛаВРиК"</t>
  </si>
  <si>
    <t>ЗПУ «Закрутка»</t>
  </si>
  <si>
    <t>20 фут
40 фут</t>
  </si>
  <si>
    <t xml:space="preserve"> Подготовка контейнера под погрузку (термиообработка реквизита крепления для экспортной отправки)</t>
  </si>
  <si>
    <t>Установка щита заграждения</t>
  </si>
  <si>
    <t>2.02.06.</t>
  </si>
  <si>
    <t>20 фут
40 фут
45 фут</t>
  </si>
  <si>
    <t xml:space="preserve">Без выдачи сертификата </t>
  </si>
  <si>
    <t>С выдачей сертификата</t>
  </si>
  <si>
    <t>количество</t>
  </si>
  <si>
    <t>автомобиль</t>
  </si>
  <si>
    <t>Оформление документов по процедуре  таможенного транзита</t>
  </si>
  <si>
    <t xml:space="preserve">Доставка документов в таможенные органы </t>
  </si>
  <si>
    <t>Прием/выдача контейнеров в/из стоках.</t>
  </si>
  <si>
    <t>20 фут
40 фут 
45 фут</t>
  </si>
  <si>
    <t>Услуга применяется: 
- при перемещение контейнера прошедшего таможенную очистку с СВХ  на хранение по просьбе Клиента.
- при перемещении в место проверки и/или устранения коммерческой или технической неисправности контейнера, возникшей по вине грузоотправителя;
- при проведении по просьбе Клиента  взвешивания, в том числе повторного после завоза контейнера на площадку для отправки жд транспортом.</t>
  </si>
  <si>
    <t>Внесение по инициативе грузоотправителя или организации, осуществляющей перевалку грузов, изменений в принятые заявки на перевозки грузов. Расчитывается и взыскивается согласнотарифного руководства №1,2,3 и/или на основании других нормативных документов ОАО "РЖД"</t>
  </si>
  <si>
    <t>2.02.14.</t>
  </si>
  <si>
    <t>легковой</t>
  </si>
  <si>
    <t xml:space="preserve">Услуга включает стоимость крепления  одного автомобиля в контейнере  согласно Технических условий размещения и крепления грузов в вагонах и контейнерах специалистами при использовании реквизитов крепления ПАО "ТрансКонтейнер".    </t>
  </si>
  <si>
    <t>джип</t>
  </si>
  <si>
    <t xml:space="preserve">Услуга включает стоимость раскрепления одного автомобиля в контейнере.  Стоимость раскрепления иных грузов в соответствии с параметрами, указанными в заказе, рассчитывается отдельной калькуляцией. </t>
  </si>
  <si>
    <t>оборудование</t>
  </si>
  <si>
    <t>Крепление/раскрепление контейнера на платформе, предусматривающее применение увязочных приспособлений</t>
  </si>
  <si>
    <t>Раскрепление контейнеров в полувагоне, включая зачистку полувагона от реквизитов крепления;
Отключение/подключение рефрижераторных контейнеров, снятие/навешивание съемного оборудования "Дженсет" с рефрижераторных контейнеров.</t>
  </si>
  <si>
    <t>Платежно-финансовые и прочие экспедиторские услуги</t>
  </si>
  <si>
    <t>2.03.04.</t>
  </si>
  <si>
    <t>Организация переадресовки груза</t>
  </si>
  <si>
    <t xml:space="preserve">расчетная </t>
  </si>
  <si>
    <t>2.03.07.</t>
  </si>
  <si>
    <t>Разработка и/или согласование схем, эскизов, чертежей погрузки груза</t>
  </si>
  <si>
    <t>Эскиз</t>
  </si>
  <si>
    <t>Чертеж для габаритного груза</t>
  </si>
  <si>
    <t>2.03.08.</t>
  </si>
  <si>
    <t>Прочие платежно-финансовые и иные экспедиторские услуги.</t>
  </si>
  <si>
    <t>Выдача справок о стоимости услуг</t>
  </si>
  <si>
    <t>2.03.09.</t>
  </si>
  <si>
    <t>Работа автомобиля сверх норматива</t>
  </si>
  <si>
    <t>конт*час</t>
  </si>
  <si>
    <t>2.04.02.</t>
  </si>
  <si>
    <t>При оказании услуги по завозу/вывозу с отцепом на складе грузополучателя/грузоотправителя плата за пользование полуприцепом начисляется с момента отцепа на складе Клиента до момента передачи уведомления в "ТрансКонтейнер" по тел.8(343)380-12-00 (доб 5145, 5136) о завершении погрузки/выгрузки без учета норматива времени под загрузкой/ выгрузкой.</t>
  </si>
  <si>
    <t>2.04.03.</t>
  </si>
  <si>
    <t>Прочие услуги автомобильного транспорта</t>
  </si>
  <si>
    <t xml:space="preserve">Загрузка/выгрузка контейнера по дополнительному адресу          </t>
  </si>
  <si>
    <t>Контейнерный терминал ООО "ТС-Контейнер", ст.Екатеринбург-Товарный</t>
  </si>
  <si>
    <t>Организация обработки контейнеров/грузов на терминалах/в портах/в депо</t>
  </si>
  <si>
    <t>Организация обработки контейнеров/грузов на терминалах/в портах/в депо (груженый контейнер, в составе контейнерного поезда), без учета затрат на сдачу контейнера после выгрузки</t>
  </si>
  <si>
    <t>Ставка за 1 контейнеро-операцию погрузочно-разгрузочных работ КТК 20 фут. до 24 тн. (брутто не выше 24тн) - применяется, в том числе и на груженые контейнеры 20 ф. до 30 тн фактический вес брутто которых не превышает 24 тн. 
Ставка за 1 контейнеро-операцию погрузочно-разгрузочных работ КТК 20 фут. до 30 тн. (брутто выше 24тн) - применяется на груженый контейнер 20 фут. 30 тн. фактический вес брутто которого превышает 24 тн.</t>
  </si>
  <si>
    <t>Ставки применяются при хранении грузов/контейнеров после истечения срока бесплатного хранения (5 суток для прибывших в составе контейнерного поезда с момента уведомления). Неполные сутки свыше 1 (одного) часа округляются до полных.</t>
  </si>
  <si>
    <t xml:space="preserve">Раскрепление груженого контейнера при приеме на универсальной платформе / полувагоне. </t>
  </si>
  <si>
    <t>Контейнерный терминал ООО "УТРО", ст.Екатеринбург-Товарный/Звезда</t>
  </si>
  <si>
    <t>Ставка за 1 контейнеро-операцию погрузочно-разгрузочных работ КТК 20 фут. до 24 тн. (брутто не выше 24тн) - применяется, в том числе и на груженые контейнеры 20 ф. до 30тн фактический вес брутто которых не превышает 24тн.                                                                 Ставка за 1 контейнеро-операцию погрузочно-разгрузочных работ КТК 20 фут. до 30 тн. (брутто выше 24тн) - применяется на груженый контейнер 20 фут. 30 тн. фактический вес брутто которого превышает 24тн.</t>
  </si>
  <si>
    <t>Ставки применяются при хранении грузов/контейнеров после истечения срока бесплатного хранения. Неполные сутки свыше 1 (одного) часа округляются до полных.</t>
  </si>
  <si>
    <t>С. В. Казакова</t>
  </si>
  <si>
    <t>Н. В. Буиклы</t>
  </si>
  <si>
    <t>Н. Б. Можарова</t>
  </si>
  <si>
    <t>Начальник  контейнерного терминала  Екатеринбург-Товарный</t>
  </si>
  <si>
    <t>А. А. Кармакских</t>
  </si>
  <si>
    <t>1 зона  (1-10 км)</t>
  </si>
  <si>
    <t>2 зона  (11-25 км)</t>
  </si>
  <si>
    <t>3 зона (26-50 км)</t>
  </si>
  <si>
    <t>4 зона (51-100 км)</t>
  </si>
  <si>
    <t>5 зона (101-150 км)</t>
  </si>
  <si>
    <t>6 зона (151-200 км)</t>
  </si>
  <si>
    <t>7 зона (201-250 км)</t>
  </si>
  <si>
    <t>8 зона (251-300 км)</t>
  </si>
  <si>
    <t>9 зона (301-350 км)</t>
  </si>
  <si>
    <t>10 зона (351-400 км)</t>
  </si>
  <si>
    <t>11 зона(401-450 км)</t>
  </si>
  <si>
    <t>12 зона(451-650 км)</t>
  </si>
  <si>
    <t>вес брутто не более 24т</t>
  </si>
  <si>
    <t>вес брутто более 24т</t>
  </si>
  <si>
    <r>
      <t xml:space="preserve">Дополнительные погрузочно-разгрузочные работы с </t>
    </r>
    <r>
      <rPr>
        <u/>
        <sz val="12"/>
        <rFont val="Times New Roman"/>
        <family val="1"/>
        <charset val="204"/>
      </rPr>
      <t>гружеными</t>
    </r>
    <r>
      <rPr>
        <sz val="12"/>
        <rFont val="Times New Roman"/>
        <family val="1"/>
        <charset val="204"/>
      </rPr>
      <t xml:space="preserve"> контейнерами, выполняемые РЖД при отправлении /прибытии(вес брутто до 24 тонн)</t>
    </r>
  </si>
  <si>
    <t>контейнеро*операция</t>
  </si>
  <si>
    <t>20 фут.</t>
  </si>
  <si>
    <t>Ставка за 1контейнеро-операцию погрузочно-разгрузочных работ КТК 20 фут. до 24 тн. (брутто не выше 24тн) - применяется, в том числе и на груженые контейнеры 20 ф. до 30тн фактический вес брутто которых не превышает 24тн.</t>
  </si>
  <si>
    <r>
      <t xml:space="preserve">Дополнительные погрузочно-разгрузочные работы с </t>
    </r>
    <r>
      <rPr>
        <u/>
        <sz val="12"/>
        <rFont val="Times New Roman"/>
        <family val="1"/>
        <charset val="204"/>
      </rPr>
      <t>гружеными</t>
    </r>
    <r>
      <rPr>
        <sz val="12"/>
        <rFont val="Times New Roman"/>
        <family val="1"/>
        <charset val="204"/>
      </rPr>
      <t xml:space="preserve"> контейнерами, выполняемые РЖД при отправлении /прибытии(вес брутто свыше 24 тонн)</t>
    </r>
  </si>
  <si>
    <r>
      <t xml:space="preserve">Дополнительные погрузочно-разгрузочные работы с </t>
    </r>
    <r>
      <rPr>
        <u/>
        <sz val="12"/>
        <rFont val="Times New Roman"/>
        <family val="1"/>
        <charset val="204"/>
      </rPr>
      <t>порожними</t>
    </r>
    <r>
      <rPr>
        <sz val="12"/>
        <rFont val="Times New Roman"/>
        <family val="1"/>
        <charset val="204"/>
      </rPr>
      <t xml:space="preserve"> контейнерами, выполняемые РЖД при отправлении/прибытии</t>
    </r>
  </si>
  <si>
    <r>
      <t xml:space="preserve">Дополнительные погрузочно-разгрузочные работы с </t>
    </r>
    <r>
      <rPr>
        <u/>
        <sz val="12"/>
        <rFont val="Times New Roman"/>
        <family val="1"/>
        <charset val="204"/>
      </rPr>
      <t xml:space="preserve">гружеными </t>
    </r>
    <r>
      <rPr>
        <sz val="12"/>
        <rFont val="Times New Roman"/>
        <family val="1"/>
        <charset val="204"/>
      </rPr>
      <t>контейнерами, выполняемые РЖД при отправлении/прибытии</t>
    </r>
  </si>
  <si>
    <t>Хранение груза/контейнеров на контейнерном терминале РЖД и иных собственников по отправлению/прибытию</t>
  </si>
  <si>
    <t>контейнеро*суток</t>
  </si>
  <si>
    <t>на основании протокола правления ОАО РЖД от 29.12.2017 №69 Тел. от 12.01.2018 № 179/СВР ТЦФТО (телеграф. № 625 от 16.01.2018)</t>
  </si>
  <si>
    <t>документ(ов)</t>
  </si>
  <si>
    <t>Внесение по инициативе грузоотправителя или организации, осуществляющей перевалку грузов, изменений в принятые заявки на перевозки грузовРассчитываетя и взыскивается согласно тарифным руководствам  №1,2,3 или на основании других нормативных документов ОАО "РЖД.</t>
  </si>
  <si>
    <t>заказ</t>
  </si>
  <si>
    <t>Работа автомобиля сверх норматива при завозе/вывозе</t>
  </si>
  <si>
    <t xml:space="preserve">20 фут
40 фут </t>
  </si>
  <si>
    <t>простой авомобиля свыше 15 минут округляется до целого часа</t>
  </si>
  <si>
    <t>Начальник Агентства на станции Войновка</t>
  </si>
  <si>
    <t>О. А. Намятова</t>
  </si>
  <si>
    <t xml:space="preserve">действующий с 01 марта  2024 года (стоимость в рублях )    </t>
  </si>
  <si>
    <t>Зона №1 (расстояние от 1 до 5км)</t>
  </si>
  <si>
    <t>Зона № 2 (расстояние от 6 до 10км)</t>
  </si>
  <si>
    <t>Зона № 3 (расстояние от 11 до 15км)</t>
  </si>
  <si>
    <t>Зона № 4 (расстояние от 16 до 20 км)</t>
  </si>
  <si>
    <t>Зона № 6 (расстояние от 31 до 55 км)</t>
  </si>
  <si>
    <t>Зона № 8 (расстояние от 71 до 100 км)</t>
  </si>
  <si>
    <t>вагон*сутки</t>
  </si>
  <si>
    <t xml:space="preserve">Дополнительные погрузочно-разгрузочные работы с контейнерами/грузами  </t>
  </si>
  <si>
    <t>Хранение на открытой площадке (контейнеры)</t>
  </si>
  <si>
    <t>тонн</t>
  </si>
  <si>
    <t>все типы контейнера</t>
  </si>
  <si>
    <t>14</t>
  </si>
  <si>
    <t>Осуществление расчетных операций за сопровождение и охрану груза в пути следования железнодорожным транспортомв зависимости от рода груза и количества контейнеров/вагонов в охраняемой группе</t>
  </si>
  <si>
    <t>Оформление за Клиента в информационных системах заказа на транспортно-экспедиторские услуги.</t>
  </si>
  <si>
    <t>конт*часов</t>
  </si>
  <si>
    <t>Начальник Агентства Сургут</t>
  </si>
  <si>
    <t>Услуги  с учетом  времени погрузки и выгрузки контейнеров Клиентом не превышающим: 20 фут - 3 часа, 40-фут – 4 часа. Зональность автоперевозки определяется "Списком расстояний по зонам до клиентов от Контейнерной площалки ст. Сургут". Ограничения по весу: для всех контейнеров до 24 тонн брутто (ХМАО, ЯМАЛ)</t>
  </si>
  <si>
    <t>Ставка применяется в отношении контейнеров, предоставляемых для перевозки воинских грузов по форме-2, в том числе для личных бытовых нужд военнослужащих, и в объявленных договором оферты ОАО "РЖД".</t>
  </si>
  <si>
    <t>Ставка за 1 контейнеро-операцию погрузочно-разгрузочных работ груженого/порожнего контейнера</t>
  </si>
  <si>
    <t>"Клещ 60СЦ", "ЛаВРик"</t>
  </si>
  <si>
    <t>"Закрутка"</t>
  </si>
  <si>
    <t>Услуга включает стоимость одного щита загрождения в контейнере  согласно Технических условий размещения и крепления грузов в вагонах и контейнерах.</t>
  </si>
  <si>
    <t>20 фут 
40 фут</t>
  </si>
  <si>
    <t>20 фут
40 фут
вагон</t>
  </si>
  <si>
    <t>Раскредитование перевозочных документов</t>
  </si>
  <si>
    <t>Н. В. Курц</t>
  </si>
  <si>
    <t xml:space="preserve">на услуги по организации транспортно-экспедиционного обслуживания, предоставляемые </t>
  </si>
  <si>
    <t>Уральским  филиалом ПАО "ТрансКонтейнер" по Контейнерному терминалу Нижневартовск</t>
  </si>
  <si>
    <t xml:space="preserve">действующий с  01 марта 2024 года (стоимость в рублях )    </t>
  </si>
  <si>
    <t>Комплексное транспортно-экспедиторское обслуживание на маршруте перевозки.</t>
  </si>
  <si>
    <t xml:space="preserve"> расчётная</t>
  </si>
  <si>
    <t>расчётная</t>
  </si>
  <si>
    <t>Зона № 001 (0-300)</t>
  </si>
  <si>
    <t>Услуги  с учетом  времени погрузки и выгрузки контейнеров клиентом не превышающие - 3 часа.                                                                          Зональность автоперевозки определяется "Списком расстояний по зонам до клиентов от контейнерного терминала Нижневартовск".  Ограничение по весу: для 20- футовых контейнеров до 22 тонн брутто.</t>
  </si>
  <si>
    <t>Зона № 012 (1-12)</t>
  </si>
  <si>
    <t>Зона № 022 (13-22)</t>
  </si>
  <si>
    <t>Зона № 045 (23-45)</t>
  </si>
  <si>
    <t>Зона № 067 (46-67)</t>
  </si>
  <si>
    <t>Зона № 085 (68-85)</t>
  </si>
  <si>
    <t>Зона № 105 (86-105)</t>
  </si>
  <si>
    <t>Зона № 130 (106-130)</t>
  </si>
  <si>
    <t>Зона № 152 (131-152)</t>
  </si>
  <si>
    <t>Зона № 175 (153-175)</t>
  </si>
  <si>
    <t>Зона № 200 (176-200)</t>
  </si>
  <si>
    <t>Зона № 222 (201-222)</t>
  </si>
  <si>
    <t>Зона № 245 (223-245)</t>
  </si>
  <si>
    <t>Погрузочно-разгрузочные работы с контейнерами/грузами собственности ПАО "ТрансКонтейнер"</t>
  </si>
  <si>
    <t xml:space="preserve">Погрузочно-разгрузочные работы с контейнерами/грузами иной собственности </t>
  </si>
  <si>
    <t>Предоставление  контейнера ТрансКонтейнер для дополнительных операций, связанных с перевозкой грузов.</t>
  </si>
  <si>
    <t>ваг*сут</t>
  </si>
  <si>
    <t>Ставка по  предоставлению вагона за шестые и последующие сутки,при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</si>
  <si>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Ставка применяются  в случае   использования контейнеров собственности железнодорожных администраций стран СНГ ставка пользования контейнером расчитывается в соответствии с Тарифным руководством ОАО "РЖД".</t>
  </si>
  <si>
    <t>Дополнительные погрузочно-разгрузочные работы с гружеными контейнерами/грузами  (вес брутто до 24 тн), выполняемые ТрансКонтейнер при отправлению/прибытии</t>
  </si>
  <si>
    <t xml:space="preserve">Ставка за 1контейнеро-операцию погрузочно-разгрузочных работ КТК 20 фут. до 24 тн. (брутто не выше 24тн) - применяется, в том числе и на груженые контейнеры 20 ф. до 30тн фактический вес брутто которых не превышает 24тн.                                                                </t>
  </si>
  <si>
    <t>Дополнительные погрузочно-разгрузочные работы с порожними контейнерами/грузами выполняемые ТрансКонтейнер при отправлению/прибытии</t>
  </si>
  <si>
    <t>Хранение грузов/контейнеров на контейнерном терминале ТрансКонтейнер по отправлению/прибытию</t>
  </si>
  <si>
    <t>Ставки применяются при хранении грузов/контейнеров в следующих случаях: - по прибытию после истечения срока бесплатного хранения, установленного Уставом ЖДТ РФ; - по отправлению при завозе груза/контейнера ранее  назначенного дня погрузки. Сбор начисляется с момента фактического завоза груза/контейнера на терминал до момента приема груза/контейнера  к перевозке, неполные сутки свыше 1(одного) часа округляются до полных.</t>
  </si>
  <si>
    <t>тонн*суток на открытой площадке</t>
  </si>
  <si>
    <t xml:space="preserve"> тонн расчет</t>
  </si>
  <si>
    <t>20 фут, вагон</t>
  </si>
  <si>
    <t xml:space="preserve"> Механизированным способом, вес одного места груза не более 1500кг</t>
  </si>
  <si>
    <t>"Клещ-60СЦ" , "ЛаВРиК"</t>
  </si>
  <si>
    <t xml:space="preserve">Установка щита заграждения </t>
  </si>
  <si>
    <t>Услуга применяется при подготовке контейнера в противопожарном отношении; подбора/ подготовки/ дооборудования контейнера для перевозки определенной номенклатуры грузов; при определении соотвествия контейнера иной собственности требованиям ASEP.</t>
  </si>
  <si>
    <t>комплект документов</t>
  </si>
  <si>
    <t>Услуга применяется при получении за грузоотправителя визы на погрузку грузов, выполняемое по его просьбе</t>
  </si>
  <si>
    <t>2.03.03.</t>
  </si>
  <si>
    <t>Организация подачи/уборки вагонов</t>
  </si>
  <si>
    <t>15</t>
  </si>
  <si>
    <t>Осуществление расчетных операций за нахождение вагонов/контейнеров на железнодорожных путях</t>
  </si>
  <si>
    <t>вагон*суток</t>
  </si>
  <si>
    <t>Очистка контейнера от остатков ранее перевозимого груза</t>
  </si>
  <si>
    <t xml:space="preserve">  </t>
  </si>
  <si>
    <t>Погрузка/выгрузка  контейнера механизированным способом на подъездном пути ООО "Ространском"</t>
  </si>
  <si>
    <t xml:space="preserve">40фут </t>
  </si>
  <si>
    <t>Простой автотранспорта сверх нормы до 15 минут не учитывается, свыше 15 минут взыскивается как за полный  час.</t>
  </si>
  <si>
    <t>Экспедирование силами ТрансКонтейнер при завозе/вывозе</t>
  </si>
  <si>
    <r>
      <t>Хранение собственных контейнеров по просьбе клиента (</t>
    </r>
    <r>
      <rPr>
        <b/>
        <sz val="12"/>
        <rFont val="Times New Roman"/>
        <family val="1"/>
        <charset val="204"/>
      </rPr>
      <t>порожний</t>
    </r>
    <r>
      <rPr>
        <sz val="12"/>
        <rFont val="Times New Roman"/>
        <family val="1"/>
        <charset val="204"/>
      </rPr>
      <t>)</t>
    </r>
  </si>
  <si>
    <t>Начальник контейнерного терминала Нижневартовск</t>
  </si>
  <si>
    <t>Л. А. Карюкина</t>
  </si>
  <si>
    <t xml:space="preserve"> Комплексное транспортно-экспедиторское обслуживание на маршруте перевозки контейнеров/грузов.</t>
  </si>
  <si>
    <t>Рассчитывается согласно указанной в Заказе информации на перевозку и зависит от направления, расстояния перевозки, грузоподъемности контейнера, стоимости груза и иных условий перевозки и включает в себя услуги разделов 1.02.01 - 1.02.05</t>
  </si>
  <si>
    <t>Рассчитывается согласно указанной в Заказе информации на перевозку и зависит от направления, расстояния перевозки, грузоподъемности контейнера, стоимости груза и иных условий перевозки</t>
  </si>
  <si>
    <t>Зона №1 (расстояние от 0 до 5 км)</t>
  </si>
  <si>
    <t>Зона № 2 (расстояние от 6 до 10 км)</t>
  </si>
  <si>
    <t>Зона № 3 (расстояние от 11 до 15 км)</t>
  </si>
  <si>
    <t>Зона №5 (расстояние от 21 до 25 км)</t>
  </si>
  <si>
    <t>Зона № 6 (расстояние от 26 до 30 км)</t>
  </si>
  <si>
    <t>Зона № 7 (расстояние от 31 до 75 км)</t>
  </si>
  <si>
    <t>Зона № 8 (расстояние от 76 до 120 км)</t>
  </si>
  <si>
    <t>Зона № 9 (расстояние от 121 до 160 км)</t>
  </si>
  <si>
    <t>Зона № 10 (расстояние от 161 до 200 км)</t>
  </si>
  <si>
    <t>Зона № 11 (расстояние от 201 до 240 км)</t>
  </si>
  <si>
    <t>Зона № 12 (расстояние от 241 до 300 км)</t>
  </si>
  <si>
    <t>Зона № 13 (расстояние от 301 до 350 км)</t>
  </si>
  <si>
    <t>Зона № 14 (расстояние от 351 до 400 км)</t>
  </si>
  <si>
    <t xml:space="preserve"> для порожних контейнеров</t>
  </si>
  <si>
    <t>40 фут.</t>
  </si>
  <si>
    <t>2.01.04</t>
  </si>
  <si>
    <t>Прочие услуги, связанные с оперированием</t>
  </si>
  <si>
    <t xml:space="preserve">Дополнительные погрузочно-разгрузочные работы с гружеными контейнерами/грузами  </t>
  </si>
  <si>
    <t xml:space="preserve">Вес брутто до 24 тн.  Ставка за 1контейнеро-операцию погрузочно-разгрузочных работ КТК 20 фут. до 24 тн. (брутто не выше 24тн) - применяется, в том числе и на груженые контейнеры 20 ф. до 30тн фактический вес брутто которого не превышает 24тн.     </t>
  </si>
  <si>
    <t xml:space="preserve"> Дополнительные погрузочно-разгрузочные работы с гружеными контейнерами/грузами  (вес брутто свыше 24 тн)</t>
  </si>
  <si>
    <t>Вес брутто свыше 24 тн</t>
  </si>
  <si>
    <t>Хранение на открытой площадке</t>
  </si>
  <si>
    <t>20 фут, СТК</t>
  </si>
  <si>
    <t>Услуга начисляется в случае хранения порожних контейнеров Клиента. Неполные сутки  свыше 1 (одного) часа округляются до полных.</t>
  </si>
  <si>
    <t>Хранение на СВХ/ЗТК</t>
  </si>
  <si>
    <t>Оплачиваемое  время нахождения контейнера  на ВЗТК ПАО "ТрансКонтейнер»  исчисляется  с ноля часов дня следующего за днем завершения ТПТТ таможенным органом до момента предьявления Клиентом перевозочных  документов  с отметкой о выпуске товара. В случае направления товара на иное СВХ оплачиваемое время исчисляется  с ноля часов дня следующего за днем завершения ТПТТ таможенным органом до момента вывоза  контейнера с Контейнерного терминала. Неполные сутки свыше 1 (одного) часа округляются до полных.</t>
  </si>
  <si>
    <t xml:space="preserve"> Услуга начисляется в случае хранения порожних контейнеров Клиента. Неполные сутки  свыше 1 (одного) часа округляются до полных.</t>
  </si>
  <si>
    <t>Оплачиваемое  время нахождения контейнера  на СВХ/ВЗТК ПАО "ТрансКонтейнер»  исчисляется  с ноля часов дня следующего за днем завершения ТПТТ таможенным органом до 24 часов дня предъявления Клиентом перевозочных  документов  с отметкой о выпуске товара.
В случае направления товара на иное оплачиваемое время исчисляется  с ноля часов дня следующего за днем завершения ТПТТ таможенным органом до до 24 часов дня вывоза контейнера с Контейнерного терминала. Неполные сутки свыше 1 (одного) часа округляются до полных.</t>
  </si>
  <si>
    <t xml:space="preserve">Хранение на открытой площадке </t>
  </si>
  <si>
    <t xml:space="preserve">  Услуга начисляется за фактическое время нахождения контейнера  на  сторонних терминалах портов, рассчитывается по ставкам соисполнителей.</t>
  </si>
  <si>
    <t>"Клещ-60СЦ", "ЛаВРик",</t>
  </si>
  <si>
    <t xml:space="preserve">Установка щита заграждения  </t>
  </si>
  <si>
    <t>Оформление документов по открытию/закрытию процедуры таможенного транзита</t>
  </si>
  <si>
    <t>Доставка документов в таможенные органы</t>
  </si>
  <si>
    <t>Отправление документов заказной корреспонденцией по просьбе Заказчика 1 конверт почтой России</t>
  </si>
  <si>
    <t>20ф</t>
  </si>
  <si>
    <t>Очистка контейнера</t>
  </si>
  <si>
    <t>40ф</t>
  </si>
  <si>
    <t>17</t>
  </si>
  <si>
    <t>2.03.01.</t>
  </si>
  <si>
    <t>Организация перевозки груза на особых условиях</t>
  </si>
  <si>
    <t>18</t>
  </si>
  <si>
    <t>19</t>
  </si>
  <si>
    <t>Стоимость услуги рассчитывается и взыскивается согласно нормативных документов ОАО "РЖД"</t>
  </si>
  <si>
    <t>Разработка и/или согласование схем, эскизов, чертежей погрузки груза (Эскиз)</t>
  </si>
  <si>
    <t xml:space="preserve"> Прочие платежно-финансовые и иные экспедиторские услуги.</t>
  </si>
  <si>
    <t>-</t>
  </si>
  <si>
    <t xml:space="preserve"> Простой автотранспорта сверх нормы до 15 мин не учитывается, свыше 15 минут взыскивается как за полный  час</t>
  </si>
  <si>
    <t>При оказании услуги по завозу/вывозу с отцепом на складе грузополучателя/грузоотправителя плата за пользование полуприцепом начисляется с момента окончания норм времени на погрузку/выгрузку груза на складе Клиента до момента уведомления ТрансКонтейнер по телефону 8(3522) 49-78-74 о завершении погрузки/выгрузки</t>
  </si>
  <si>
    <t>Начальник Контейнерного терминала Курган</t>
  </si>
  <si>
    <t>А.В. Дудин</t>
  </si>
  <si>
    <t>Организация обработки контейнеров/грузов</t>
  </si>
  <si>
    <t>2.01.04.</t>
  </si>
  <si>
    <t xml:space="preserve"> Дополнительные погрузочно-разгрузочные работы с гружеными контейнерами/грузами</t>
  </si>
  <si>
    <t>Ставка за 1контейнеро-операцию погрузочно-разгрузочных работ КТК 20фут. до 30 тн. (брутто выше 24тн) - применяется на груженые контейнеры 20 фут. 30 тн, фактический вес брутто которых превышает 24тн.</t>
  </si>
  <si>
    <t>Дополнительные погрузочно-разгрузочные работы с гружеными контейнерами/грузами</t>
  </si>
  <si>
    <t>Ставки применяются при хранении грузов/контейнеров в следующих случаях: - по прибытию после истечения срока бесплатного хранения, установленного Уставом ЖДТ РФ; - по отправлению при завозе груза/контейнера ранее назначенного дня погрузки. Сбор начисляется с момента фактического завоза груза/контейнера на терминал до момента приема груза/контейнера  к перевозке, а также после выпуска товара в свободное обращение с ноля часов дня, следующего за предъявлением Клиентом перевозочного документа с отметкой таможенного органа "Выпуск разрешен". Неполные сутки свыше 1(одного) часа округляются до полных.</t>
  </si>
  <si>
    <t>тонн рассчетных</t>
  </si>
  <si>
    <t>Применяется при использовании погрузчика для погрузки/выгрузки пакетированных грузов механическим способом без подсортировки, масса 1 места до 50кг</t>
  </si>
  <si>
    <t>Клещ-60СЦ , ЛаВРик</t>
  </si>
  <si>
    <t xml:space="preserve">Прочие услуги терминалов/портов/депо </t>
  </si>
  <si>
    <t>Отправление документов заказной корреспонденцией по просьбе Заказчика 1 конверт почтой России.</t>
  </si>
  <si>
    <t>Отправка экспресс-почты.</t>
  </si>
  <si>
    <t>Услуга применяется за разработку эскиза</t>
  </si>
  <si>
    <t>Заместитель директора филиала  по продажам и коммерции</t>
  </si>
  <si>
    <t>Начальник Агентства на станции Оренбург</t>
  </si>
  <si>
    <t>Ставка за 1контейнеро-операцию погрузочно-разгрузочных работ КТК 20 фут. до 24 тн. (брутто не выше 24тн) - применяется, в том числе и на груженые контейнеры 20 ф. до 30тн, фактический вес брутто которых не превышает 24тн.</t>
  </si>
  <si>
    <t>на услуги по организации транспортно-экспедиционного обслуживания, предоставляемые</t>
  </si>
  <si>
    <t xml:space="preserve">Уральским филиалом ПАО "ТрансКонтейнер" по  Контейнерному терминалу Челябинск - Грузовой </t>
  </si>
  <si>
    <t>Организация  железнодорожной   перевозки контейнеров/грузов железнодорожным транспортом</t>
  </si>
  <si>
    <t>Зона № 0 (расстояние от 0 до 1км)</t>
  </si>
  <si>
    <t>Зона №5 (расстояние от 21 до 25км)</t>
  </si>
  <si>
    <t>Зона № 6 (расстояние от 26 до 30км)</t>
  </si>
  <si>
    <t>Зона № 7 (расстояние от 31 до 35 км)</t>
  </si>
  <si>
    <t>Зона № 8 (расстояние от 36 до 40км)</t>
  </si>
  <si>
    <t>Зона № 9 (расстояние от 41 до 45 км)</t>
  </si>
  <si>
    <t>Зона № 10 (расстояние от 46 до 55км)</t>
  </si>
  <si>
    <t>Зона № 11 (расстояние от 56 до 65км)</t>
  </si>
  <si>
    <t>Зона № 12 (расстояние от 66 до 75км)</t>
  </si>
  <si>
    <t>Зона № 13 (расстояние от 76 до 85км)</t>
  </si>
  <si>
    <t>Зона № 14 (расстояние от 86 до 95км)</t>
  </si>
  <si>
    <t>Зона № 15 (расстояние от 96 до 105км)</t>
  </si>
  <si>
    <t>Зона № 16 (расстояние от 106 до 115км)</t>
  </si>
  <si>
    <t>Зона № 17 (расстояние от 116 до 125км)</t>
  </si>
  <si>
    <t>Зона № 18 (расстояние от 126 до 135км)</t>
  </si>
  <si>
    <t>Зона № 19 (расстояние от 136 до 145км)</t>
  </si>
  <si>
    <t>Зона № 20 (расстояние от 146 до 170км)</t>
  </si>
  <si>
    <t>Зона № 21 (расстояние от 171 до 195км)</t>
  </si>
  <si>
    <t>Зона № 22 (расстояние от 196 до 220км)</t>
  </si>
  <si>
    <t>Зона № 23 (расстояние от 221 до 245км)</t>
  </si>
  <si>
    <t>Зона № 24 (расстояние от 246 до 270км)</t>
  </si>
  <si>
    <t>Зона № 25 (расстояние от 271 до 295км)</t>
  </si>
  <si>
    <t>Зона № 26 (расстояние от 296 до 320км)</t>
  </si>
  <si>
    <t>Зона № 27 (расстояние от 321 до 345км)</t>
  </si>
  <si>
    <t>Зона № 28 (расстояние от 346 до 400км)</t>
  </si>
  <si>
    <t>Зона № 29 (расстояние от 401 до 450км)</t>
  </si>
  <si>
    <t>Зона № 30 (расстояние от 451 до 500км)</t>
  </si>
  <si>
    <t>Зона № 32 (расстояние от 501 до 550км)</t>
  </si>
  <si>
    <t>Зона № 33 (расстояние от 551 до 600км)</t>
  </si>
  <si>
    <t>Зона № 34 (расстояние от 601 до 650км)</t>
  </si>
  <si>
    <t>1.02.06</t>
  </si>
  <si>
    <t>9</t>
  </si>
  <si>
    <t>Дополнительные погрузочно-разгрузочные работы с гружеными контейнерами/грузами  (вес брутто до 24 тн)</t>
  </si>
  <si>
    <t>Ставка за 1контейнеро-операцию погрузочно-разгрузочных работ КТК 20 фут. до 24 тн. (брутто не выше 24тн) - применяется, в том числе и на груженые контейнеры 20 ф. до 30тн фактический вес брутто которых не превышает 24тн.                                                                 Ставка за 1контейнеро-операцию погрузочно-разгрузочных работ КТК 20фут. до 30 тн. (брутто выше 24тн) - применяется на груженый контейнер 20 фут. 30 тн. фактический вес брутто которого превышает 24тн.</t>
  </si>
  <si>
    <t>Применяется при приеме/выдаче порожних контейнеров Клиента в/из депо (СТОК) при завозе/вывозе автотранспортом.  По прибытию  порожнего контейнера Клиента по железной дороге для сдачи в СТОК,после выгрузки груженого контейнера  Клиента на терминале с дальнейшей сдачей в СТОК,  применяются  ставки для 20фут ктк-1503,60 руб., для 40 фут-2004,00 руб. с учетом НДС.</t>
  </si>
  <si>
    <t xml:space="preserve">Хранение контейнеров/грузов на открытой площадке (диапазон с 1 по 15 сутки) </t>
  </si>
  <si>
    <t>Услуга начисляется в случае хранения порожних контейнеров Клиента. Неполные сутки свыше 1(одного) часа округляются до полных.</t>
  </si>
  <si>
    <t>Хранение контейнеров/грузов на открытой площадке (диапазон с 16-х суток)</t>
  </si>
  <si>
    <t>Хранение контейнеров/грузов на открытой площадке (диапазон с 1-х по 3 сутки)</t>
  </si>
  <si>
    <t>Ставки применяются при хранении грузов/контейнеров в следующих случаях: по прибытию - после истечения срока бесплатного хранения, установленного Уставом ЖДТ РФ, а также после выпуска товара в свободное обращение с ноля часов дня, следующего за предъявлением Клиентом   электронной декларации на товар с отметкой таможенного органа   "Выпуск разрешен". По отправлению - при завозе груза/контейнера на хранение по причинам, зависящим от Клиента. Сбор начисляется с момента фактического завоза груза/контейнера на терминал до момента приема груза/контейнера к перевозке. Неполные сутки свыше 1(одного) часа округляются до полных.</t>
  </si>
  <si>
    <t>Хранение контейнеров/грузов на открытой площадке (диапазон с 4-х по 7 сутки)</t>
  </si>
  <si>
    <t>Хранение контейнеров/грузов на открытой площадке (диапазон с 8-х суток  и далее )</t>
  </si>
  <si>
    <t>Хранение контейнеров с подключением к электропитанию</t>
  </si>
  <si>
    <t>Хранение контейнеров/ грузов на СВХ/ЗТК</t>
  </si>
  <si>
    <t>Оплачиваемое  время нахождения контейнера  в ЗТК/СВХ ПАО "ТрансКонтейнер»  исчисляется  с ноля часов дня следующего за днем  выгрузки контейнера с вагона в ЗТК/СВХ до момента предьявления Клиентом электронной декларации на товар   с отметкой о выпуске товара. В случае направления товара на иное СВХ оплачиваемое время исчисляется   до момента вывоза  контейнера с Контейнерного терминала. Неполные сутки свыше 1(одного) часа округляются до полных.</t>
  </si>
  <si>
    <t>тонно/суток</t>
  </si>
  <si>
    <t>Ставка применяется  при хранении груза на контейнерном терминале  в следующих случаях:  по отправлению - при  завозе груза на Контейнерный терминал, в том числе   ранее назначенного дня погрузки   с момента  фактического завоза груза на терминал до момента начала погрузки груза в контейнер;  по прибытию – с момента  фактической выгрузки груза  на Контейнерный терминал до момента вывоза груза с терминала;                 при хранении  не связанном с железнодорожной перевозкой -  с момента завоза груза на  контейнерный терминал до момента вывоза с терминала.
Неполные сутки свыше 1 часа округляются  до полных, неполные тонны округляются до целой тонны.
На хранение не принимаются  опасные, скоропортящиеся, боящиеся внешних атмосферных воздействий грузы.</t>
  </si>
  <si>
    <t>час</t>
  </si>
  <si>
    <t>Контейнер</t>
  </si>
  <si>
    <t xml:space="preserve"> Ставка рассчитана для погрузчика грузоподъемностью до 5 тонн. Услуга оплачивается минимум за 1 час. Время работы погрузчика до 15 мин не учитывается, свыше 15 минут взыскивается как за полный  час.         </t>
  </si>
  <si>
    <t xml:space="preserve"> Ставка рассчитана для контейнерного перегружателя  «Ричстакер»  KALMAR DRF 450-60S5,HYSTER RS45-31CH грузоподъемностью до 45 т.       </t>
  </si>
  <si>
    <t>чел-час</t>
  </si>
  <si>
    <t>Услуги оплачиваются Клиентом минимум за 3 часа. при условии работы 2 грузчиков . Данная ставка предусматривает работу 1 грузчика в течение 1 часа. Время работы грузчика до 15 мин не учитывается, свыше 15 минут взыскивается как за полный  час. Услуги не оказываются 31 декабря, а также 1 и 2 января календарного года.</t>
  </si>
  <si>
    <t>"СПРУТ-777"</t>
  </si>
  <si>
    <t xml:space="preserve">Установка щита заграждения. Услуга включает стоимость изготовления одного щита ограждения и его установку   в соответствии с Техническими условиями размещения и крепления грузов в вагонах и контейнерах. </t>
  </si>
  <si>
    <t>Подготовка контейнера под погрузку .Услуга применяется при подготовке контейнера в противопожарном отношении; подбора/ подготовки/ дооборудования контейнера для перевозки определенной номенклатуры грузов;при подготовке щита ограждения ПАО "ТрансКонтейнер" к фумигации  при определении соотвествия контейнера иной собственности требованиям ASEP.</t>
  </si>
  <si>
    <t>Очистка контейнера от остатков ранее перевозимого груза.</t>
  </si>
  <si>
    <t xml:space="preserve">Крепление грузов </t>
  </si>
  <si>
    <t>прочие грузы</t>
  </si>
  <si>
    <t>Крепление грузов</t>
  </si>
  <si>
    <t xml:space="preserve">Услуга включает стоимость крепления  одного автомобиля в контейнере  согласно Технических условий размещения и крепления грузов в вагонах и контейнерах специалистами при использовании реквизитов крепления ПАО ТрансКонтейнер.   В случае крепления иного груза в контейнере стоимость услуги будет рассчитана с учетом изготовления и установки необходимых реквизитов крепления в соответствии с Техническими условиями размещения и крепления грузов,  или  с  разработанным, согласованным эскизом на погрузку  и крепление  груза с учетом затраченного на погрузку времени.  </t>
  </si>
  <si>
    <t>Раскрепление грузов</t>
  </si>
  <si>
    <t>Услуга включает стоимость раскрепления контейнера, прибывшего в полувагоне и очистку полувагона от реквизитов крепления.</t>
  </si>
  <si>
    <t>страховые платежи</t>
  </si>
  <si>
    <t xml:space="preserve"> Оформление за Клиента в информационных системах заказа на транспортно-экспедиционные услуги</t>
  </si>
  <si>
    <t>Норма времени погрузки /выгрузки контейнеров Клиентом :  20 фут - 3 часа, 40-фут – 4 часа. Простой автотранспорта сверх нормы до 15 минут не учитывается, свыше 15 минут взыскивается как за полный  час.</t>
  </si>
  <si>
    <t>Норма времени погрузки /выгрузки контейнеров Клиентом составляет для 20 фут - 3 часа, 40-фут – 4 часа. При оказании услуги по завозу/вывозу с отцепом на складе грузополучателя/грузоотправителя плата за пользование полуприцепом начисляется с момента окончания норм времени на погрузку/выгрузку груза на складе Клиента до момента передачи уведомления ТрансКонтейнер по телефону 8(351)262-13-07 или по электронной почте BashurovaNP@trcont.ru  о завершении погрузки/выгрузки.</t>
  </si>
  <si>
    <t>2.04.03</t>
  </si>
  <si>
    <t>Погрузка/выгрузка по дополнительному адресу (сдача / забор порожнего контейнера  в/из депо собственника не на территории Контейнерного терминала )</t>
  </si>
  <si>
    <t>Начальник контейнерного терминала Челябинск-Грузовой</t>
  </si>
  <si>
    <t>Начальник Агентства в городе Челябинск</t>
  </si>
  <si>
    <t xml:space="preserve">действующий с 01 марта 2024 года  (стоимость в рублях ) </t>
  </si>
  <si>
    <t>Рассчитывается согласно указанной в Заказе информации на перевозку и зависит от направления, расстояния перевозки и грузоподъемности контейнера и включает в себя услуги разделов 1.02.01 - 1.02.06</t>
  </si>
  <si>
    <t>Организация перевозки  контейнеров/грузов железнодорожным транспортом</t>
  </si>
  <si>
    <t>Рассчитывается согласно указанной в Заказе информации на перевозку и зависит от направления, расстояния перевозки и грузоподъемности контейнера.</t>
  </si>
  <si>
    <t>Зона 0 (расстояние от 0 до 2км)</t>
  </si>
  <si>
    <t>Зона № 1 (расстояние от 3 до 5 км)</t>
  </si>
  <si>
    <t>Зона № 3 (расстояние от11 до 15км)</t>
  </si>
  <si>
    <t>Зона № 4 (расстояние от16 до 20 км)</t>
  </si>
  <si>
    <t>Зона № 5 (расстояние от 21 до 25 км)</t>
  </si>
  <si>
    <t>Зона № 8 (расстояние от 36 до 40 км)</t>
  </si>
  <si>
    <t>Зона №10 (расстояние от 46 до 50 км)</t>
  </si>
  <si>
    <t>Зона №14 (расстояние от 151 до 200 км)</t>
  </si>
  <si>
    <t>неконтейнерные грузы</t>
  </si>
  <si>
    <t xml:space="preserve">Погрузочно-разгрузочные работы с контейнерами/грузами </t>
  </si>
  <si>
    <t>для порожних контейнеров</t>
  </si>
  <si>
    <t>При фактической массе брутто контейнера свыше 24 тонн применяется ставка сбора, установленная для контейнеров размером 40 футов и массой брутто свыше 30 тонн. При переработке 20*фут. контейнеров в порожнем состоянии применяется ставка сбора, установленная для порожних 20*фут. контейнеров массой брутто свыше 10т до 24т.</t>
  </si>
  <si>
    <t>Применяется для приема/выдачи порожних контейнеров в/из стока на терминале ТрансКонтейнер</t>
  </si>
  <si>
    <t xml:space="preserve">Ставки применяются при хранении грузов/контейнеров по прибытию после истечения срока бесплатного хранения, установленного Уставом ЖДТ РФ, а также  по отправлению при завозе груза/контейнера ранее  назначенного дня погрузки. Начисления производятся с момента фактического завоза груза/контейнера на терминал до момента приема груза/контейнера  к перевозке в день, согласованный в заказе.                                                                                   * Неполные сутки (свыше 1 часа) округляются до полных.                               </t>
  </si>
  <si>
    <t>Хранение на СВХ</t>
  </si>
  <si>
    <t>Услуги взыскиваются за фактическое время нахождения контейнера на СВХ/ЗТК. Стоимость за услугу начисляется с момента помещения товара на СВХ до момента предъявления Клиентом перевозочных документов с отметкой о выпуске товара (согласно данным складских квитанций).  *Неполные сутки свыше 1(одного) часа, округляются до полных.</t>
  </si>
  <si>
    <t>С подключением к электропитанию</t>
  </si>
  <si>
    <t xml:space="preserve">Услуги взыскиваются за фактическое время нахождения контейнера на СВХ/ЗТК. Стоимость за услугу начисляется с момента помещения товара на СВХ до момента предъявления Клиентом перевозочных документов с отметкой о выпуске товара (согласно данным складских квитанций). *Неполные сутки свыше 1(одного) часа, округляются до полных. </t>
  </si>
  <si>
    <t xml:space="preserve">Услуги взыскиваются за фактическое время нахождения контейнера на СВХ/ЗТК. Стоимость за услугу начисляется с момента помещения товара на СВХ до момента предъявления Клиентом перевозочных документов с отметкой о выпуске товара (согласно данным складских квитанций) </t>
  </si>
  <si>
    <t>Ставки применяются при хранении порожних контейнеров иной собственности клиента, неполные сутки свыше 1 (одного) часа округляются до полных.</t>
  </si>
  <si>
    <t>тонно*сутки</t>
  </si>
  <si>
    <t>Хранение грузов в крытом складе/на открытой площадке Не полные сутки (свыше 1 часа) округляются до полных. Не полные тонны округляются до полных.</t>
  </si>
  <si>
    <t xml:space="preserve">Хранение контейнеров/грузов СВХ </t>
  </si>
  <si>
    <t>контейнер, вагон</t>
  </si>
  <si>
    <t>Применяется при предоставлении погрузчика на 1 час.</t>
  </si>
  <si>
    <t xml:space="preserve"> контейнер, вагон</t>
  </si>
  <si>
    <t xml:space="preserve"> Предоставление вилочного погрузчика  и переработка груза козловым краном при повагонных и контейнерных  перевозках.  Неполные тонны округляются до полных.                 </t>
  </si>
  <si>
    <t>Ставка применяется при погрузке/выгрузке груза силами ТрансКонтейнер, рассчитана с учетом работы одного человека.</t>
  </si>
  <si>
    <t>"Клещ-60СЦ"  "ЛаВРик"</t>
  </si>
  <si>
    <t>Подготовка контейнера под погрузку. Услуга применяется при подготовке контейнера в противопожарном отношении; подбора/ подготовки/ дооборудования контейнера для перевозки определенной номенклатуры грузов;  при определении соответствия контейнера иной собственности требованиям ASEP</t>
  </si>
  <si>
    <t>Взвешивание груза.</t>
  </si>
  <si>
    <t xml:space="preserve"> При организации взвешивания на товарных весах (вес одного места не более 5 тонн). Неполная тонна округляется до полной.</t>
  </si>
  <si>
    <t>Услуга применяется при использовании контейнерной площадки для погрузки/выгрузки груза на территории контейнерного терминала.</t>
  </si>
  <si>
    <t xml:space="preserve"> Услуга применяется  при очистке контейнера от остатков ранее перевозимого груза.</t>
  </si>
  <si>
    <t>Отправление документов заказной корреспонденцией по просьбе Заказчика                     (1 конверт почтой России)</t>
  </si>
  <si>
    <t>отправка экспресс-почты</t>
  </si>
  <si>
    <t xml:space="preserve"> Услуга применяется  при выгрузке/погрузке вагона прямым вариантом "вагон-автомобиль"</t>
  </si>
  <si>
    <t xml:space="preserve">Крепление/раскрепления грузов </t>
  </si>
  <si>
    <t>Крепление груза</t>
  </si>
  <si>
    <t>Раскрепление груза</t>
  </si>
  <si>
    <t>Применяется при раскреплении всех видов грузов</t>
  </si>
  <si>
    <t>Взыскивается на основании нормативных документов ОАО "РЖД"</t>
  </si>
  <si>
    <t>21</t>
  </si>
  <si>
    <t>Разработка и/или согласование схем, эскизов, чертежей погрузки груза (эскиз)</t>
  </si>
  <si>
    <t>за 1 эскиз</t>
  </si>
  <si>
    <t xml:space="preserve"> Простой автотранспорта сверх нормы до 15 мин не учитываются, свыше 15 минут взыскивается как за полный  час</t>
  </si>
  <si>
    <t>Начальник Контейнерного терминала Магнитогорск-Грузовой</t>
  </si>
  <si>
    <t>И.Н. Авраменко</t>
  </si>
  <si>
    <t xml:space="preserve">действующий с 01 апреля 2024 года (стоимость в рублях )    </t>
  </si>
  <si>
    <t>Формирование пакета документов для завершения процедуры таможенного транзита</t>
  </si>
  <si>
    <t>Составление документов отчетности по ЗТК (ДО-1, ДО-2 комплект)</t>
  </si>
  <si>
    <t>Оформление коммерческого акта при расхождении сведений в документах отчетности по ЗТК (ДО-1, ДО-2)</t>
  </si>
  <si>
    <t>Хранение контейнеров/грузов  (диапазон с 16-х суток)</t>
  </si>
  <si>
    <t>Хранение контейнеров/грузов  (диапазон с 1-х по 15 сутки)</t>
  </si>
  <si>
    <t>Хранение контейнеров/грузов  (диапазон с 8-х суток и далее)</t>
  </si>
  <si>
    <t>Хранение контейнеров/грузов  (диапазон с 4-х по 7 сутки)</t>
  </si>
  <si>
    <t>Хранение контейнеров/грузов  (диапазон с 1-х по 3 сутки)</t>
  </si>
  <si>
    <t>3тн
5тн</t>
  </si>
  <si>
    <t>20 фут
40 фут  
45 фут</t>
  </si>
  <si>
    <t xml:space="preserve">В. Ф. Шагеев </t>
  </si>
  <si>
    <t>Ставка по предоставлению контейнера  за двадцать первые и последующие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 часа округляются до полных.</t>
  </si>
  <si>
    <t>Ставка по предоставлению контейнера  за одиннадцатые - двадцатые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 часа округляются до полных.</t>
  </si>
  <si>
    <t>Ставка по предоставлению контейнера за первые - десятые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 часа округляются до полных.</t>
  </si>
  <si>
    <t xml:space="preserve"> Ставка по  предоставлению вагона за шестые и последующие сутки,при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 часа округляются до полных.</t>
  </si>
  <si>
    <t>3 тн
5 тн</t>
  </si>
  <si>
    <t>При оказании услуги по завозу/вывозу с отцепом на складе грузополучателя/грузоотправителя плата за пользование полуприцепом начисляется с момента отцепа на складе Клиента до момента передачи уведомления в ТрансКонтейнер  о завершении погрузки/выгрузки без учета норматива времени под загрузкой/ выгрузкой.</t>
  </si>
  <si>
    <t xml:space="preserve">Хранение в ЗТК ПАО "ТрансКонтейнер». Неполные сутки свыше 1 (одного) часа округляются до полных.  </t>
  </si>
  <si>
    <t>________________  А. А. Кривошапкин</t>
  </si>
  <si>
    <t xml:space="preserve"> зона 001 (на расстояние до 10 км включительно)</t>
  </si>
  <si>
    <t>Н. Б Можарова</t>
  </si>
  <si>
    <t>Е. М. Назипова</t>
  </si>
  <si>
    <t>Е. В. Шихова</t>
  </si>
  <si>
    <t>А. В. Гайовец</t>
  </si>
  <si>
    <t>Ставка по предоставлению вагона за первые - пятые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 часа округляются до полных.</t>
  </si>
  <si>
    <t>с гружеными контейнерами, при отправлении/прибытии (вес брутто до 24 тн)</t>
  </si>
  <si>
    <t>На контейнерном терминале РЖД по прибытию/отправлению. Ставки применяются при хранении грузов/контейнеров в следующих случаях:
- по прибытию после истечения срока бесплатного хранения, установленного Уставом ЖДТ РФ;
- по отправлению при завозе груза/контейнера ранее  назначенного дня погрузки. Сбор начисляется с момента фактического завоза груза/контейнера на терминал до момента приема груза/контейнера  к перевозке. 
Неполные сутки свыше 1(одного) часа округляются до полных.</t>
  </si>
  <si>
    <t>Предоставление вагона/контейнера для дополнительных операций</t>
  </si>
  <si>
    <t>Сбор за непредъявление грузов на указанную в заявке станцию назначения;</t>
  </si>
  <si>
    <t>Зона №1 (расстояние от 1 до 5 км)</t>
  </si>
  <si>
    <t>Зона № 5 (расстояние от 21 до 30 км)</t>
  </si>
  <si>
    <t>Зона № 7 (расстояние от 56 до 70 км)</t>
  </si>
  <si>
    <t>Зона № 9 (расстояние от 101 до 150 км)</t>
  </si>
  <si>
    <t>Зона № 10 (расстояние от 151 до 200 км)</t>
  </si>
  <si>
    <t>Зона № 11 (расстояние от 201 до 300 км)</t>
  </si>
  <si>
    <t>Зона № 12 (расстояние от 301 до 500 км)</t>
  </si>
  <si>
    <t>Зона № 13 (расстояние от 501 до 700 км)</t>
  </si>
  <si>
    <t>Зона № 14 (расстояние от 701 до 800 км)</t>
  </si>
  <si>
    <t>Ставки применяются при хранении грузов/контейнеров в следующих случаях:           
- по прибытию после истечения срока бесплатного хранения, установленного Уставом ЖДТ РФ;                                                    
- по отправлению при завозе груза/контейнера ранее  назначенного дня погрузки. Сбор начисляется с момента фактического завоза груза/контейнера на терминал до момента приема груза/контейнера  к перевозке, а также после выпуска товара в свободное обращение с ноля часов дня, следующего за предъявлением Клиентом перевозочного документа с отметкой таможенного органа "Выпуск разрешен". 
Неполные сутки свыше 1 (одного) часа округляются до полных.</t>
  </si>
  <si>
    <t>крытые
полувагоны</t>
  </si>
  <si>
    <t>В соответствии с утвержденным списоком зон г. Кургана и Курганской области. Завоз (вывоз) контейнера (с тарификацией по зонам) включает: 
- вывоз груженого (порожнего) контейнера + завоз порожнего (груженого) контейнера 
 - нормативное время погрузки и выгрузки контейнеров Клиентом не превышающим: 20 фут – 3 часа, 40 фут – 4 часа. 
При перевозке грузов под таможенным контролем с выездом в зону другого таможенного поста, ставка увеличивается на размер простоя автотранспорта в ожидании оформления документов. При перевозке с отцепом/снятием на складе грузополучателя/грузоотправителя к ставкам организации перевозки автомобильным транспортом дополнительно взыскивается плата за пользование  прицепом за фактическое время нахождения прицепа с контейнером под погрузкой/выгрузкой с момента отцепа на складе Клиента до момента передачи уведомления о завершении погрузки/выгрузки без учета норматива времени под загрузкой/выгрузкой. 
Ограничение по весу: для 20- футовых контейнеров до 28 тонн брутто,  для 40- футовых контейнеров до 30 тонн брутто.</t>
  </si>
  <si>
    <t>Ставка по предоставлению контейнера за одиннадцатые - двадцатые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 часа округляются до полных.</t>
  </si>
  <si>
    <t>Ставка по предоставлению контейнера за двадцать первые и последующие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 часа округляются до полных.</t>
  </si>
  <si>
    <t>Ставка по  предоставлению вагона за первые - пятые сутки,при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 Неполные сутки свыше 1 (одного) часа округляются до полных.</t>
  </si>
  <si>
    <t xml:space="preserve"> Ставка по  предоставлению вагона за шестые и последующие сутки,при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 Неполные сутки свыше 1 (одного) часа округляются до полных.</t>
  </si>
  <si>
    <t>Ставки применяются при хранении грузов/контейнеров в следующих случаях: - по прибытию после истичения срока бесплатного хранения, установленного Уставом ЖДТ РФ.
 - по отправлению при завозе груза/контейнера ранее  назначенного дня погрузки. Сбор начисляется с момента фактического завоза груза/контейнера на терминал до момента приема груза/контейнера  к перевозке, а также после выпуска товара в свободное обращение по предъявлению Клиентом оригинала железнодорожной накладной и Декларации на товар с отметкой таможенного органа  "Выпуск разрешен". 
Неполные сутки свыше 1 (одного) часа округляются до полных.</t>
  </si>
  <si>
    <t>Ставки применяются при хранении грузов/контейнеров в следующих случаях: - по прибытию после истечения срока бесплатного хранения, установленного Уставом ЖДТ РФ.  
- по отправлению при завозе груза/контейнера ранее  назначенного дня погрузки.  Начисления производятся с момента фактического завоза груза/контейнера на терминал до момента приема груза/контейнера  к перевозке,  а также после выпуска товара в свободное обращение по предъявлению Клиентом оригинала железнодорожной накладной и Декларации на товар с отметкой таможенного органа  "Выпуск разрешен".  
Неполные сутки свыше 1 (одного) часа округляются до полных.</t>
  </si>
  <si>
    <t>Подготовка контейнера под погрузку.  Услуга применяется  при подготовке контейнера в противопожарном отношении; подбора/ подготовки/ дооборудования контейнера для перевозки определенной номенклатуры грузов; определение соотвествия контейнера иной собственности требованиям ASEP</t>
  </si>
  <si>
    <t>Отправка экспресс - почты</t>
  </si>
  <si>
    <t xml:space="preserve"> Прочие услуги терминалов/портов/депо</t>
  </si>
  <si>
    <t>20 фут
20 фут (30т)
40фут</t>
  </si>
  <si>
    <t>В. А. Ворожейкина</t>
  </si>
  <si>
    <r>
      <t xml:space="preserve">Дополнительные погрузочно-разгрузочные работы с </t>
    </r>
    <r>
      <rPr>
        <b/>
        <sz val="12"/>
        <rFont val="Times New Roman"/>
        <family val="1"/>
        <charset val="204"/>
      </rPr>
      <t>порожними</t>
    </r>
    <r>
      <rPr>
        <sz val="12"/>
        <rFont val="Times New Roman"/>
        <family val="1"/>
        <charset val="204"/>
      </rPr>
      <t xml:space="preserve"> контейнерами/грузами </t>
    </r>
  </si>
  <si>
    <t xml:space="preserve"> Время погрузки и выгрузки контейнеров Клиентом:  20фут - 3 часа, 40фут - 4 часа. Время нахождения автомобиля рассчитывается с момента прибытия автомобиля в пункт погрузки/выгрузки (но не ранее, указанного времени подачи автотранспорта в заказе клиента и транспортной накладной) до момента убытия автомобиля из пункта погрузки/выгрузки. Зональность автоперевозки определяется "Списком расстояний по зонам  до клиентов от Контейнерного терминала Магнитогорск-Грузовой".                                                                                                                              Стоимость автодоставки контейнера по зонам включает: 2 пробега автомобиля с груженым / порожним контейнером на полуприцепе с/на склад Клиента. 
При перевозке грузов под таможенным контролем с выездом в зону другого таможенного поста, ставка увеличивается на размер простоя автотранспорта в ожидании оформления на таможенном посту. При перевозке с отцепом/снятием на складе грузополучателя/грузоотправителя к ставкам организации перевозки автомобильным транспортом дополнительно взыскивается плата за пользование  прицепом. Пользование полуприцепом начисляется с момента окончания норм времени на погрузку/выгрузку груза на складе Клиента до момента передачи уведомления о завершении погрузки/выгрузки.</t>
  </si>
  <si>
    <t>Зона №11 (расстояние от 51 до 100 км)</t>
  </si>
  <si>
    <t>Зона №12 (расстояние от 101 до 125 км)</t>
  </si>
  <si>
    <t>Зона №13 (расстояние от 126 до 150 км)</t>
  </si>
  <si>
    <t>Зона №15 (расстояние от 201 до 250 км)</t>
  </si>
  <si>
    <t>Зона №16 (расстояние от 251 до3 50 км)</t>
  </si>
  <si>
    <t>Зона №16 (расстояние от 251 до 350 км)</t>
  </si>
  <si>
    <t>Зона 0 (расстояние от 0 до 2 км)</t>
  </si>
  <si>
    <t xml:space="preserve">Ставки применяются при хранении грузов/контейнеров по прибытию после истечения срока бесплатного хранения, установленного Уставом ЖДТ РФ, а также  по отправлению при завозе груза/контейнера ранее  назначенного дня погрузки. Начисления производятся с момента фактического завоза груза/контейнера на терминал до момента приема груза/контейнера  к перевозке в день, согласованный в заказе.  
* Неполные сутки (свыше 1 часа) округляются до полных.                               </t>
  </si>
  <si>
    <t>Услуга оказывается:
- при креплении груза в вагоне, без учета материалов;   
- при раскреплении всех видов грузов.</t>
  </si>
  <si>
    <t>Стоимость указана для услуги крепления груза в контейнере.  Услуга также используется при погрузке автотранспортных средств.</t>
  </si>
  <si>
    <t>20 фут
20 фут (30т)
40 фут
45 фут</t>
  </si>
  <si>
    <t>Внесение по инициативе грузоотправителя или организации, осуществляющей перевалку грузов, изменений в принятые заявки на перевозки грузов. Рассчитываетя и взыскивается согласно тарифным руководствам  №1,2,3 или на основании других нормативных документов ОАО "РЖД</t>
  </si>
  <si>
    <t>Пользование полуприцепом начисляется с момента окончания норм времени на погрузку/выгрузку груза на складе Клиента до момента передачи уведомления о завершении погрузки/выгрузки по телефону 8 (3519)393-827 доб.5411</t>
  </si>
  <si>
    <t>Перевозка порожних контейнеров собственности Клиента.</t>
  </si>
  <si>
    <t>Клещ-60 СЦ, ЛаВРик</t>
  </si>
  <si>
    <t>Контейнер
вагон</t>
  </si>
  <si>
    <t>____________________  А. А. Кривошапкин</t>
  </si>
  <si>
    <t>Ставки на услуги  указаны с учетом  времени погрузки и выгрузки контейнеров Клиентом, не превышающим:  20 фут - 3 часа, 40-фут – 4 часа. При перевозке с отцепом на складе грузополучателя/грузоотправителя к ставкам организации перевозки автомобильным транспортом дополнительно взыскивается плата за пользование полуприцепом за фактическое время нахождения полуприцепа с контейнером под погрузкой/выгрузкой с момента окончания норм времени на погрузку/выгрузку груза на складе Клиента до момента передачи уведомления  о завершении погрузки/выгрузки (услуга 2.04.02).    При перевозке "со снятием"/холостой пробег (в случае отказа от погрузки/погрузки) на складе Клиента взыскивается как дополнительный рейс.                                                                                                             Зональность автоперевозки определяется "Списком расстояний по зонам до клиентов от Контейнерного терминала Челябинск-Грузовой". При перевозке грузов под таможенным контролем с выездом в зону другого таможенного поста, ставка увеличивается на размер простоя автотранспорта в ожидании оформления таможенных документов. Ограничение по весу: для 20- футовых контейнеров до 28 тонн брутто,  для 40- футовых контейнеров до 30 тонн брутто.</t>
  </si>
  <si>
    <t>Взвешивание груза на весах грузоподъемностью до  3 тонн. Неполная тонна, округляется до полной.</t>
  </si>
  <si>
    <t>_______________________  А. А. Кривошапкин</t>
  </si>
  <si>
    <t xml:space="preserve">  Ставка по предоставлению вагона за первые - пятые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 часа округляются до полных.</t>
  </si>
  <si>
    <t>Ставки применяются при хранении грузов/контейнеров в следующих случаях: 
- по прибытию после истечения срока бесплатного хранения, установленного Уставом ЖДТ РФ; 
- по отправлению при завозе груза/контейнера ранее  назначенного дня погрузки. 
Сбор начисляется с момента фактического завоза груза/контейнера на терминал до момента приема груза/контейнера  к перевозке. Неполные сутки свыше 1 (одного) часа округляются до полных.</t>
  </si>
  <si>
    <t>Уральским филиалом ПАО "ТрансКонтейнер" по Агентству на станции Березники (Заячья горка)</t>
  </si>
  <si>
    <t>Уральским филиалом ПАО "ТрансКонтейнер", по Контейнерному терминалу Екатеринбург-Товарный</t>
  </si>
  <si>
    <t xml:space="preserve"> Уральским филиалом ПАО "ТрансКонтейнер по Агентству на ст. Войновка</t>
  </si>
  <si>
    <t xml:space="preserve"> Уральским филиалом ПАО "ТрансКонтейнер" по Агентству на станции Сургут</t>
  </si>
  <si>
    <t xml:space="preserve">Уральским филиалом  ПАО "ТрансКонтейнер" по Контейнерному терминалу Курган </t>
  </si>
  <si>
    <t xml:space="preserve">Уральским филиалом ПАО "ТрансКонтейнер" по Агентству на станции Оренбург </t>
  </si>
  <si>
    <t xml:space="preserve">Уральским филиалом ПАО "ТрансКонтейнер" по Контейнерному терминалу Магнитогорск - Грузовой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</si>
</sst>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р_."/>
    <numFmt numFmtId="165" formatCode="#,##0.00\ _₽"/>
    <numFmt numFmtId="167" formatCode="000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mbria"/>
      <family val="1"/>
      <charset val="204"/>
    </font>
    <font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43" fontId="9" fillId="0" borderId="0" applyFont="0" applyFill="0" applyBorder="0" applyAlignment="0" applyProtection="0"/>
  </cellStyleXfs>
  <cellXfs count="571">
    <xf numFmtId="0" fontId="0" fillId="0" borderId="0" xfId="0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/>
    <xf numFmtId="2" fontId="3" fillId="0" borderId="0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4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4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4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4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 shrinkToFit="1"/>
    </xf>
    <xf numFmtId="0" fontId="3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left" vertical="center" wrapText="1"/>
      <protection locked="0"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>
      <alignment horizontal="center" vertical="center" wrapText="1"/>
    </xf>
    <xf numFmtId="49" fontId="2" fillId="0" borderId="0" xfId="3" applyNumberFormat="1" applyFont="1" applyFill="1" applyAlignment="1">
      <alignment horizontal="center" vertical="top" wrapText="1"/>
    </xf>
    <xf numFmtId="0" fontId="2" fillId="0" borderId="1" xfId="2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4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4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12" fillId="0" borderId="0" xfId="0" applyFont="1"/>
    <xf numFmtId="49" fontId="3" fillId="0" borderId="0" xfId="0" applyNumberFormat="1" applyFont="1" applyAlignment="1"/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/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/>
    <xf numFmtId="164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left" shrinkToFi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/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Fill="1" applyAlignment="1">
      <alignment horizontal="center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164" fontId="3" fillId="0" borderId="0" xfId="0" applyNumberFormat="1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164" fontId="13" fillId="0" borderId="0" xfId="0" applyNumberFormat="1" applyFont="1" applyFill="1" applyAlignment="1">
      <alignment horizontal="right"/>
    </xf>
    <xf numFmtId="0" fontId="13" fillId="0" borderId="0" xfId="0" applyFont="1" applyAlignment="1">
      <alignment horizontal="right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right" vertical="center" wrapText="1"/>
      <protection locked="0"/>
    </xf>
    <xf numFmtId="164" fontId="2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/>
    <xf numFmtId="49" fontId="3" fillId="0" borderId="0" xfId="0" applyNumberFormat="1" applyFont="1" applyFill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2" borderId="1" xfId="2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165" fontId="2" fillId="2" borderId="1" xfId="2" applyNumberFormat="1" applyFont="1" applyFill="1" applyBorder="1" applyAlignment="1">
      <alignment horizontal="center" vertical="center" wrapText="1"/>
    </xf>
    <xf numFmtId="4" fontId="2" fillId="2" borderId="1" xfId="2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2" fontId="6" fillId="0" borderId="1" xfId="6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top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4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4" applyNumberFormat="1" applyFont="1" applyFill="1" applyBorder="1" applyAlignment="1">
      <alignment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49" fontId="6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/>
    <xf numFmtId="164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Alignment="1">
      <alignment vertical="center" wrapText="1"/>
    </xf>
    <xf numFmtId="49" fontId="8" fillId="0" borderId="0" xfId="3" applyNumberFormat="1" applyFont="1" applyFill="1" applyAlignment="1">
      <alignment horizontal="center" vertical="top" wrapText="1"/>
    </xf>
    <xf numFmtId="49" fontId="8" fillId="2" borderId="1" xfId="2" applyNumberFormat="1" applyFont="1" applyFill="1" applyBorder="1" applyAlignment="1">
      <alignment horizontal="center" vertical="center" wrapText="1"/>
    </xf>
    <xf numFmtId="164" fontId="8" fillId="2" borderId="1" xfId="2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3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2" fillId="0" borderId="0" xfId="3" applyNumberFormat="1" applyFont="1" applyFill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2" fillId="0" borderId="1" xfId="4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center" vertical="center" wrapText="1"/>
    </xf>
    <xf numFmtId="2" fontId="6" fillId="2" borderId="8" xfId="0" applyNumberFormat="1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3" fillId="0" borderId="2" xfId="4" applyNumberFormat="1" applyFont="1" applyFill="1" applyBorder="1" applyAlignment="1">
      <alignment horizontal="center" vertical="center" wrapText="1"/>
    </xf>
    <xf numFmtId="0" fontId="3" fillId="0" borderId="3" xfId="4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4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11" fillId="0" borderId="0" xfId="0" applyFont="1" applyAlignment="1"/>
    <xf numFmtId="0" fontId="3" fillId="0" borderId="0" xfId="0" applyFont="1" applyFill="1" applyBorder="1" applyAlignment="1">
      <alignment horizontal="left" vertical="center" shrinkToFi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15" fillId="0" borderId="0" xfId="3" applyNumberFormat="1" applyFont="1" applyFill="1" applyAlignment="1">
      <alignment horizontal="left" vertical="top" wrapText="1"/>
    </xf>
    <xf numFmtId="0" fontId="3" fillId="2" borderId="1" xfId="0" applyFont="1" applyFill="1" applyBorder="1"/>
    <xf numFmtId="2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0" xfId="3" applyNumberFormat="1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justify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4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0" fontId="3" fillId="0" borderId="8" xfId="4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0" fontId="3" fillId="0" borderId="10" xfId="4" applyNumberFormat="1" applyFont="1" applyFill="1" applyBorder="1" applyAlignment="1">
      <alignment horizontal="center" vertical="center" wrapText="1"/>
    </xf>
    <xf numFmtId="0" fontId="2" fillId="0" borderId="5" xfId="4" applyNumberFormat="1" applyFont="1" applyFill="1" applyBorder="1" applyAlignment="1">
      <alignment horizontal="center" vertical="center" wrapText="1"/>
    </xf>
    <xf numFmtId="0" fontId="2" fillId="0" borderId="6" xfId="4" applyNumberFormat="1" applyFont="1" applyFill="1" applyBorder="1" applyAlignment="1">
      <alignment horizontal="center" vertical="center" wrapText="1"/>
    </xf>
    <xf numFmtId="0" fontId="2" fillId="0" borderId="7" xfId="4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6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3" fillId="0" borderId="0" xfId="0" applyFont="1" applyFill="1" applyAlignment="1">
      <alignment horizontal="right"/>
    </xf>
    <xf numFmtId="167" fontId="3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/>
    <xf numFmtId="0" fontId="2" fillId="0" borderId="1" xfId="0" applyFont="1" applyFill="1" applyBorder="1" applyAlignment="1">
      <alignment horizontal="center" wrapText="1"/>
    </xf>
    <xf numFmtId="4" fontId="3" fillId="0" borderId="0" xfId="0" applyNumberFormat="1" applyFont="1" applyFill="1" applyAlignment="1">
      <alignment horizontal="left" vertical="center" shrinkToFit="1"/>
    </xf>
    <xf numFmtId="0" fontId="3" fillId="0" borderId="0" xfId="0" applyFont="1" applyFill="1" applyAlignment="1">
      <alignment horizontal="left" shrinkToFit="1"/>
    </xf>
    <xf numFmtId="0" fontId="1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1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49" fontId="8" fillId="0" borderId="0" xfId="3" applyNumberFormat="1" applyFont="1" applyFill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</cellXfs>
  <cellStyles count="7">
    <cellStyle name="Обычный" xfId="0" builtinId="0"/>
    <cellStyle name="Обычный 2" xfId="5"/>
    <cellStyle name="Обычный 4" xfId="1"/>
    <cellStyle name="Обычный 5" xfId="2"/>
    <cellStyle name="Обычный 6" xfId="3"/>
    <cellStyle name="Обычный_Лист1" xfId="4"/>
    <cellStyle name="Финансовый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miatovaOA/Downloads/&#1088;&#1072;&#1073;&#1086;&#1095;&#1080;&#1077;%20&#1089;%20&#1087;&#1088;&#1080;&#1084;&#1077;&#1095;&#1072;&#1085;&#1080;&#1077;&#1084;/&#1042;&#1086;&#1081;&#1085;&#1086;&#1074;&#1082;&#1072;%20&#1089;%2001%2001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с 01 01 2024 "/>
      <sheetName val="комплексы"/>
      <sheetName val="Лист3"/>
    </sheetNames>
    <sheetDataSet>
      <sheetData sheetId="0" refreshError="1"/>
      <sheetData sheetId="1" refreshError="1">
        <row r="13">
          <cell r="E13">
            <v>9592</v>
          </cell>
        </row>
        <row r="19">
          <cell r="E19">
            <v>9862</v>
          </cell>
        </row>
        <row r="25">
          <cell r="E25">
            <v>9890</v>
          </cell>
        </row>
        <row r="30">
          <cell r="E30">
            <v>6496</v>
          </cell>
        </row>
        <row r="35">
          <cell r="E35">
            <v>6766</v>
          </cell>
        </row>
        <row r="41">
          <cell r="E41">
            <v>6766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zoomScale="80" zoomScaleNormal="80" workbookViewId="0"/>
  </sheetViews>
  <sheetFormatPr defaultRowHeight="15.75" x14ac:dyDescent="0.25"/>
  <cols>
    <col min="1" max="1" width="6.140625" style="524" customWidth="1"/>
    <col min="2" max="2" width="12.5703125" style="108" customWidth="1"/>
    <col min="3" max="3" width="48.85546875" style="108" customWidth="1"/>
    <col min="4" max="4" width="14" style="108" customWidth="1"/>
    <col min="5" max="5" width="15.140625" style="108" customWidth="1"/>
    <col min="6" max="7" width="17.28515625" style="108" customWidth="1"/>
    <col min="8" max="8" width="63.85546875" style="108" customWidth="1"/>
    <col min="9" max="16384" width="9.140625" style="108"/>
  </cols>
  <sheetData>
    <row r="1" spans="1:8" x14ac:dyDescent="0.25">
      <c r="A1" s="106"/>
      <c r="B1" s="107"/>
      <c r="C1" s="107"/>
      <c r="D1" s="3"/>
      <c r="E1" s="3"/>
      <c r="F1" s="3"/>
      <c r="G1" s="272" t="s">
        <v>0</v>
      </c>
      <c r="H1" s="272"/>
    </row>
    <row r="2" spans="1:8" x14ac:dyDescent="0.25">
      <c r="A2" s="106"/>
      <c r="B2" s="107"/>
      <c r="C2" s="107"/>
      <c r="D2" s="3"/>
      <c r="E2" s="3"/>
      <c r="F2" s="3"/>
      <c r="G2" s="273" t="s">
        <v>62</v>
      </c>
      <c r="H2" s="273"/>
    </row>
    <row r="3" spans="1:8" x14ac:dyDescent="0.25">
      <c r="A3" s="106"/>
      <c r="B3" s="107"/>
      <c r="C3" s="107"/>
      <c r="D3" s="3"/>
      <c r="E3" s="3"/>
      <c r="F3" s="3"/>
      <c r="G3" s="274" t="s">
        <v>1</v>
      </c>
      <c r="H3" s="274"/>
    </row>
    <row r="4" spans="1:8" x14ac:dyDescent="0.25">
      <c r="A4" s="106"/>
      <c r="B4" s="107"/>
      <c r="C4" s="107"/>
      <c r="D4" s="3"/>
      <c r="E4" s="3"/>
      <c r="F4" s="109"/>
      <c r="G4" s="148"/>
      <c r="H4" s="149"/>
    </row>
    <row r="5" spans="1:8" x14ac:dyDescent="0.25">
      <c r="A5" s="106"/>
      <c r="B5" s="107"/>
      <c r="C5" s="107"/>
      <c r="D5" s="3"/>
      <c r="E5" s="3"/>
      <c r="F5" s="3"/>
      <c r="G5" s="275" t="s">
        <v>666</v>
      </c>
      <c r="H5" s="275"/>
    </row>
    <row r="6" spans="1:8" x14ac:dyDescent="0.25">
      <c r="A6" s="106"/>
      <c r="B6" s="107"/>
      <c r="C6" s="107"/>
      <c r="D6" s="3"/>
      <c r="E6" s="3"/>
      <c r="F6" s="3"/>
      <c r="G6" s="69"/>
      <c r="H6" s="68"/>
    </row>
    <row r="7" spans="1:8" x14ac:dyDescent="0.25">
      <c r="A7" s="270" t="s">
        <v>10</v>
      </c>
      <c r="B7" s="270"/>
      <c r="C7" s="270"/>
      <c r="D7" s="270"/>
      <c r="E7" s="270"/>
      <c r="F7" s="270"/>
      <c r="G7" s="270"/>
      <c r="H7" s="270"/>
    </row>
    <row r="8" spans="1:8" x14ac:dyDescent="0.25">
      <c r="A8" s="270" t="s">
        <v>104</v>
      </c>
      <c r="B8" s="270"/>
      <c r="C8" s="270"/>
      <c r="D8" s="270"/>
      <c r="E8" s="270"/>
      <c r="F8" s="270"/>
      <c r="G8" s="270"/>
      <c r="H8" s="270"/>
    </row>
    <row r="9" spans="1:8" x14ac:dyDescent="0.25">
      <c r="A9" s="270" t="s">
        <v>724</v>
      </c>
      <c r="B9" s="270"/>
      <c r="C9" s="270"/>
      <c r="D9" s="270"/>
      <c r="E9" s="270"/>
      <c r="F9" s="270"/>
      <c r="G9" s="270"/>
      <c r="H9" s="270"/>
    </row>
    <row r="10" spans="1:8" x14ac:dyDescent="0.25">
      <c r="A10" s="270" t="s">
        <v>106</v>
      </c>
      <c r="B10" s="270"/>
      <c r="C10" s="270"/>
      <c r="D10" s="270"/>
      <c r="E10" s="270"/>
      <c r="F10" s="270"/>
      <c r="G10" s="270"/>
      <c r="H10" s="270"/>
    </row>
    <row r="11" spans="1:8" x14ac:dyDescent="0.25">
      <c r="A11" s="271"/>
      <c r="B11" s="271"/>
      <c r="C11" s="271"/>
      <c r="D11" s="271"/>
      <c r="E11" s="271"/>
      <c r="F11" s="271"/>
      <c r="G11" s="271"/>
      <c r="H11" s="271"/>
    </row>
    <row r="12" spans="1:8" ht="47.25" x14ac:dyDescent="0.25">
      <c r="A12" s="35" t="s">
        <v>4</v>
      </c>
      <c r="B12" s="35" t="s">
        <v>7</v>
      </c>
      <c r="C12" s="35" t="s">
        <v>5</v>
      </c>
      <c r="D12" s="35" t="s">
        <v>6</v>
      </c>
      <c r="E12" s="35" t="s">
        <v>8</v>
      </c>
      <c r="F12" s="35" t="s">
        <v>200</v>
      </c>
      <c r="G12" s="36" t="s">
        <v>201</v>
      </c>
      <c r="H12" s="35" t="s">
        <v>9</v>
      </c>
    </row>
    <row r="13" spans="1:8" x14ac:dyDescent="0.25">
      <c r="A13" s="262" t="s">
        <v>19</v>
      </c>
      <c r="B13" s="262"/>
      <c r="C13" s="262"/>
      <c r="D13" s="262"/>
      <c r="E13" s="262"/>
      <c r="F13" s="262"/>
      <c r="G13" s="262"/>
      <c r="H13" s="262"/>
    </row>
    <row r="14" spans="1:8" x14ac:dyDescent="0.25">
      <c r="A14" s="258" t="s">
        <v>20</v>
      </c>
      <c r="B14" s="258"/>
      <c r="C14" s="262" t="s">
        <v>21</v>
      </c>
      <c r="D14" s="262"/>
      <c r="E14" s="262"/>
      <c r="F14" s="262"/>
      <c r="G14" s="262"/>
      <c r="H14" s="262"/>
    </row>
    <row r="15" spans="1:8" ht="23.25" customHeight="1" x14ac:dyDescent="0.25">
      <c r="A15" s="265" t="s">
        <v>15</v>
      </c>
      <c r="B15" s="258" t="s">
        <v>22</v>
      </c>
      <c r="C15" s="269" t="s">
        <v>57</v>
      </c>
      <c r="D15" s="265" t="s">
        <v>11</v>
      </c>
      <c r="E15" s="18" t="s">
        <v>12</v>
      </c>
      <c r="F15" s="265" t="s">
        <v>14</v>
      </c>
      <c r="G15" s="265"/>
      <c r="H15" s="265" t="s">
        <v>53</v>
      </c>
    </row>
    <row r="16" spans="1:8" ht="23.25" customHeight="1" x14ac:dyDescent="0.25">
      <c r="A16" s="265"/>
      <c r="B16" s="258"/>
      <c r="C16" s="269"/>
      <c r="D16" s="265"/>
      <c r="E16" s="18" t="s">
        <v>13</v>
      </c>
      <c r="F16" s="265" t="s">
        <v>14</v>
      </c>
      <c r="G16" s="265"/>
      <c r="H16" s="265"/>
    </row>
    <row r="17" spans="1:8" ht="23.25" customHeight="1" x14ac:dyDescent="0.25">
      <c r="A17" s="265"/>
      <c r="B17" s="258"/>
      <c r="C17" s="269"/>
      <c r="D17" s="39" t="s">
        <v>2</v>
      </c>
      <c r="E17" s="40"/>
      <c r="F17" s="265" t="s">
        <v>14</v>
      </c>
      <c r="G17" s="265"/>
      <c r="H17" s="265"/>
    </row>
    <row r="18" spans="1:8" x14ac:dyDescent="0.25">
      <c r="A18" s="262" t="s">
        <v>108</v>
      </c>
      <c r="B18" s="262"/>
      <c r="C18" s="258" t="s">
        <v>109</v>
      </c>
      <c r="D18" s="258"/>
      <c r="E18" s="258"/>
      <c r="F18" s="258"/>
      <c r="G18" s="258"/>
      <c r="H18" s="258"/>
    </row>
    <row r="19" spans="1:8" x14ac:dyDescent="0.25">
      <c r="A19" s="265" t="s">
        <v>18</v>
      </c>
      <c r="B19" s="258" t="s">
        <v>23</v>
      </c>
      <c r="C19" s="269" t="s">
        <v>58</v>
      </c>
      <c r="D19" s="265" t="s">
        <v>11</v>
      </c>
      <c r="E19" s="18" t="s">
        <v>12</v>
      </c>
      <c r="F19" s="265" t="s">
        <v>14</v>
      </c>
      <c r="G19" s="265"/>
      <c r="H19" s="265" t="s">
        <v>52</v>
      </c>
    </row>
    <row r="20" spans="1:8" x14ac:dyDescent="0.25">
      <c r="A20" s="265"/>
      <c r="B20" s="258"/>
      <c r="C20" s="269"/>
      <c r="D20" s="265"/>
      <c r="E20" s="18" t="s">
        <v>13</v>
      </c>
      <c r="F20" s="265" t="s">
        <v>14</v>
      </c>
      <c r="G20" s="265"/>
      <c r="H20" s="265"/>
    </row>
    <row r="21" spans="1:8" x14ac:dyDescent="0.25">
      <c r="A21" s="265"/>
      <c r="B21" s="258"/>
      <c r="C21" s="269"/>
      <c r="D21" s="39" t="s">
        <v>2</v>
      </c>
      <c r="E21" s="40"/>
      <c r="F21" s="265" t="s">
        <v>14</v>
      </c>
      <c r="G21" s="265"/>
      <c r="H21" s="265"/>
    </row>
    <row r="22" spans="1:8" x14ac:dyDescent="0.25">
      <c r="A22" s="265" t="s">
        <v>16</v>
      </c>
      <c r="B22" s="258" t="s">
        <v>24</v>
      </c>
      <c r="C22" s="269" t="s">
        <v>50</v>
      </c>
      <c r="D22" s="265" t="s">
        <v>11</v>
      </c>
      <c r="E22" s="18" t="s">
        <v>12</v>
      </c>
      <c r="F22" s="265" t="s">
        <v>14</v>
      </c>
      <c r="G22" s="265"/>
      <c r="H22" s="265" t="s">
        <v>52</v>
      </c>
    </row>
    <row r="23" spans="1:8" x14ac:dyDescent="0.25">
      <c r="A23" s="265"/>
      <c r="B23" s="258"/>
      <c r="C23" s="269"/>
      <c r="D23" s="265"/>
      <c r="E23" s="18" t="s">
        <v>13</v>
      </c>
      <c r="F23" s="265" t="s">
        <v>14</v>
      </c>
      <c r="G23" s="265"/>
      <c r="H23" s="265"/>
    </row>
    <row r="24" spans="1:8" x14ac:dyDescent="0.25">
      <c r="A24" s="265"/>
      <c r="B24" s="258"/>
      <c r="C24" s="269"/>
      <c r="D24" s="39" t="s">
        <v>2</v>
      </c>
      <c r="E24" s="40"/>
      <c r="F24" s="265" t="s">
        <v>14</v>
      </c>
      <c r="G24" s="265"/>
      <c r="H24" s="265"/>
    </row>
    <row r="25" spans="1:8" x14ac:dyDescent="0.25">
      <c r="A25" s="265" t="s">
        <v>17</v>
      </c>
      <c r="B25" s="258" t="s">
        <v>210</v>
      </c>
      <c r="C25" s="258" t="s">
        <v>25</v>
      </c>
      <c r="D25" s="258"/>
      <c r="E25" s="258"/>
      <c r="F25" s="258"/>
      <c r="G25" s="258"/>
      <c r="H25" s="258"/>
    </row>
    <row r="26" spans="1:8" ht="31.5" customHeight="1" x14ac:dyDescent="0.25">
      <c r="A26" s="265"/>
      <c r="B26" s="258"/>
      <c r="C26" s="2" t="s">
        <v>667</v>
      </c>
      <c r="D26" s="18" t="s">
        <v>11</v>
      </c>
      <c r="E26" s="18" t="s">
        <v>12</v>
      </c>
      <c r="F26" s="30">
        <v>17980</v>
      </c>
      <c r="G26" s="30">
        <f>F26*1.2</f>
        <v>21576</v>
      </c>
      <c r="H26" s="269" t="s">
        <v>78</v>
      </c>
    </row>
    <row r="27" spans="1:8" ht="31.5" x14ac:dyDescent="0.25">
      <c r="A27" s="265"/>
      <c r="B27" s="258"/>
      <c r="C27" s="2" t="s">
        <v>70</v>
      </c>
      <c r="D27" s="18" t="s">
        <v>11</v>
      </c>
      <c r="E27" s="18" t="s">
        <v>12</v>
      </c>
      <c r="F27" s="30">
        <v>20547</v>
      </c>
      <c r="G27" s="30">
        <f t="shared" ref="G27:G30" si="0">F27*1.2</f>
        <v>24656.399999999998</v>
      </c>
      <c r="H27" s="269"/>
    </row>
    <row r="28" spans="1:8" ht="31.5" x14ac:dyDescent="0.25">
      <c r="A28" s="265"/>
      <c r="B28" s="258"/>
      <c r="C28" s="2" t="s">
        <v>71</v>
      </c>
      <c r="D28" s="18" t="s">
        <v>11</v>
      </c>
      <c r="E28" s="18" t="s">
        <v>12</v>
      </c>
      <c r="F28" s="30">
        <v>32951</v>
      </c>
      <c r="G28" s="30">
        <f t="shared" si="0"/>
        <v>39541.199999999997</v>
      </c>
      <c r="H28" s="269"/>
    </row>
    <row r="29" spans="1:8" ht="31.5" x14ac:dyDescent="0.25">
      <c r="A29" s="265"/>
      <c r="B29" s="258"/>
      <c r="C29" s="2" t="s">
        <v>72</v>
      </c>
      <c r="D29" s="18" t="s">
        <v>11</v>
      </c>
      <c r="E29" s="18" t="s">
        <v>12</v>
      </c>
      <c r="F29" s="30">
        <v>23536</v>
      </c>
      <c r="G29" s="30">
        <f t="shared" si="0"/>
        <v>28243.200000000001</v>
      </c>
      <c r="H29" s="269"/>
    </row>
    <row r="30" spans="1:8" ht="31.5" x14ac:dyDescent="0.25">
      <c r="A30" s="265"/>
      <c r="B30" s="258"/>
      <c r="C30" s="2" t="s">
        <v>73</v>
      </c>
      <c r="D30" s="18" t="s">
        <v>11</v>
      </c>
      <c r="E30" s="18" t="s">
        <v>12</v>
      </c>
      <c r="F30" s="30">
        <v>30081</v>
      </c>
      <c r="G30" s="30">
        <f t="shared" si="0"/>
        <v>36097.199999999997</v>
      </c>
      <c r="H30" s="269"/>
    </row>
    <row r="31" spans="1:8" x14ac:dyDescent="0.25">
      <c r="A31" s="265" t="s">
        <v>28</v>
      </c>
      <c r="B31" s="258" t="s">
        <v>27</v>
      </c>
      <c r="C31" s="258" t="s">
        <v>76</v>
      </c>
      <c r="D31" s="258"/>
      <c r="E31" s="258"/>
      <c r="F31" s="258"/>
      <c r="G31" s="258"/>
      <c r="H31" s="258"/>
    </row>
    <row r="32" spans="1:8" ht="47.25" x14ac:dyDescent="0.25">
      <c r="A32" s="265"/>
      <c r="B32" s="258"/>
      <c r="C32" s="19" t="s">
        <v>29</v>
      </c>
      <c r="D32" s="19" t="s">
        <v>11</v>
      </c>
      <c r="E32" s="19" t="s">
        <v>12</v>
      </c>
      <c r="F32" s="16">
        <v>9154</v>
      </c>
      <c r="G32" s="16">
        <f>F32*1.2</f>
        <v>10984.8</v>
      </c>
      <c r="H32" s="96" t="s">
        <v>30</v>
      </c>
    </row>
    <row r="33" spans="1:8" ht="47.25" x14ac:dyDescent="0.25">
      <c r="A33" s="265"/>
      <c r="B33" s="258"/>
      <c r="C33" s="19" t="s">
        <v>31</v>
      </c>
      <c r="D33" s="19" t="s">
        <v>11</v>
      </c>
      <c r="E33" s="19" t="s">
        <v>12</v>
      </c>
      <c r="F33" s="16">
        <v>6328</v>
      </c>
      <c r="G33" s="16">
        <f>F33*1.2</f>
        <v>7593.5999999999995</v>
      </c>
      <c r="H33" s="96" t="s">
        <v>30</v>
      </c>
    </row>
    <row r="34" spans="1:8" x14ac:dyDescent="0.25">
      <c r="A34" s="267" t="s">
        <v>32</v>
      </c>
      <c r="B34" s="268" t="s">
        <v>33</v>
      </c>
      <c r="C34" s="267" t="s">
        <v>34</v>
      </c>
      <c r="D34" s="267" t="s">
        <v>11</v>
      </c>
      <c r="E34" s="19" t="s">
        <v>12</v>
      </c>
      <c r="F34" s="267" t="s">
        <v>14</v>
      </c>
      <c r="G34" s="267"/>
      <c r="H34" s="267"/>
    </row>
    <row r="35" spans="1:8" x14ac:dyDescent="0.25">
      <c r="A35" s="267"/>
      <c r="B35" s="268"/>
      <c r="C35" s="267"/>
      <c r="D35" s="267"/>
      <c r="E35" s="19" t="s">
        <v>13</v>
      </c>
      <c r="F35" s="267" t="s">
        <v>14</v>
      </c>
      <c r="G35" s="267"/>
      <c r="H35" s="267"/>
    </row>
    <row r="36" spans="1:8" x14ac:dyDescent="0.25">
      <c r="A36" s="267"/>
      <c r="B36" s="268"/>
      <c r="C36" s="267"/>
      <c r="D36" s="19" t="s">
        <v>2</v>
      </c>
      <c r="E36" s="19" t="s">
        <v>2</v>
      </c>
      <c r="F36" s="267" t="s">
        <v>14</v>
      </c>
      <c r="G36" s="267"/>
      <c r="H36" s="267"/>
    </row>
    <row r="37" spans="1:8" x14ac:dyDescent="0.25">
      <c r="A37" s="258" t="s">
        <v>35</v>
      </c>
      <c r="B37" s="258"/>
      <c r="C37" s="258"/>
      <c r="D37" s="258"/>
      <c r="E37" s="258"/>
      <c r="F37" s="258"/>
      <c r="G37" s="258"/>
      <c r="H37" s="258"/>
    </row>
    <row r="38" spans="1:8" x14ac:dyDescent="0.25">
      <c r="A38" s="258" t="s">
        <v>36</v>
      </c>
      <c r="B38" s="258"/>
      <c r="C38" s="258" t="s">
        <v>37</v>
      </c>
      <c r="D38" s="258"/>
      <c r="E38" s="258"/>
      <c r="F38" s="258"/>
      <c r="G38" s="258"/>
      <c r="H38" s="258"/>
    </row>
    <row r="39" spans="1:8" x14ac:dyDescent="0.25">
      <c r="A39" s="265" t="s">
        <v>60</v>
      </c>
      <c r="B39" s="258" t="s">
        <v>140</v>
      </c>
      <c r="C39" s="265" t="s">
        <v>38</v>
      </c>
      <c r="D39" s="265" t="s">
        <v>11</v>
      </c>
      <c r="E39" s="32" t="s">
        <v>12</v>
      </c>
      <c r="F39" s="265" t="s">
        <v>14</v>
      </c>
      <c r="G39" s="265"/>
      <c r="H39" s="265"/>
    </row>
    <row r="40" spans="1:8" x14ac:dyDescent="0.25">
      <c r="A40" s="265"/>
      <c r="B40" s="258"/>
      <c r="C40" s="265"/>
      <c r="D40" s="265"/>
      <c r="E40" s="32" t="s">
        <v>13</v>
      </c>
      <c r="F40" s="265" t="s">
        <v>14</v>
      </c>
      <c r="G40" s="265"/>
      <c r="H40" s="265"/>
    </row>
    <row r="41" spans="1:8" x14ac:dyDescent="0.25">
      <c r="A41" s="265"/>
      <c r="B41" s="258"/>
      <c r="C41" s="265"/>
      <c r="D41" s="18" t="s">
        <v>2</v>
      </c>
      <c r="E41" s="40"/>
      <c r="F41" s="265" t="s">
        <v>14</v>
      </c>
      <c r="G41" s="265"/>
      <c r="H41" s="265"/>
    </row>
    <row r="42" spans="1:8" ht="94.5" x14ac:dyDescent="0.25">
      <c r="A42" s="265" t="s">
        <v>39</v>
      </c>
      <c r="B42" s="258" t="s">
        <v>42</v>
      </c>
      <c r="C42" s="265" t="s">
        <v>43</v>
      </c>
      <c r="D42" s="265" t="s">
        <v>40</v>
      </c>
      <c r="E42" s="266" t="s">
        <v>98</v>
      </c>
      <c r="F42" s="100">
        <v>315</v>
      </c>
      <c r="G42" s="100">
        <f t="shared" ref="G42:G49" si="1">F42*1.2</f>
        <v>378</v>
      </c>
      <c r="H42" s="134" t="s">
        <v>661</v>
      </c>
    </row>
    <row r="43" spans="1:8" ht="99" customHeight="1" x14ac:dyDescent="0.25">
      <c r="A43" s="265"/>
      <c r="B43" s="258"/>
      <c r="C43" s="265"/>
      <c r="D43" s="265"/>
      <c r="E43" s="266"/>
      <c r="F43" s="100">
        <v>630</v>
      </c>
      <c r="G43" s="100">
        <f t="shared" si="1"/>
        <v>756</v>
      </c>
      <c r="H43" s="134" t="s">
        <v>660</v>
      </c>
    </row>
    <row r="44" spans="1:8" ht="99" customHeight="1" x14ac:dyDescent="0.25">
      <c r="A44" s="265"/>
      <c r="B44" s="258"/>
      <c r="C44" s="265"/>
      <c r="D44" s="265"/>
      <c r="E44" s="266"/>
      <c r="F44" s="100">
        <v>1050</v>
      </c>
      <c r="G44" s="100">
        <f t="shared" si="1"/>
        <v>1260</v>
      </c>
      <c r="H44" s="134" t="s">
        <v>659</v>
      </c>
    </row>
    <row r="45" spans="1:8" ht="94.5" x14ac:dyDescent="0.25">
      <c r="A45" s="265"/>
      <c r="B45" s="258"/>
      <c r="C45" s="265"/>
      <c r="D45" s="265" t="s">
        <v>40</v>
      </c>
      <c r="E45" s="266" t="s">
        <v>102</v>
      </c>
      <c r="F45" s="100">
        <v>525</v>
      </c>
      <c r="G45" s="100">
        <f t="shared" si="1"/>
        <v>630</v>
      </c>
      <c r="H45" s="134" t="s">
        <v>661</v>
      </c>
    </row>
    <row r="46" spans="1:8" ht="99.75" customHeight="1" x14ac:dyDescent="0.25">
      <c r="A46" s="265"/>
      <c r="B46" s="258"/>
      <c r="C46" s="265"/>
      <c r="D46" s="265"/>
      <c r="E46" s="266"/>
      <c r="F46" s="100">
        <v>787</v>
      </c>
      <c r="G46" s="100">
        <f t="shared" si="1"/>
        <v>944.4</v>
      </c>
      <c r="H46" s="134" t="s">
        <v>660</v>
      </c>
    </row>
    <row r="47" spans="1:8" ht="99.75" customHeight="1" x14ac:dyDescent="0.25">
      <c r="A47" s="265"/>
      <c r="B47" s="258"/>
      <c r="C47" s="265"/>
      <c r="D47" s="265"/>
      <c r="E47" s="266"/>
      <c r="F47" s="100">
        <v>1050</v>
      </c>
      <c r="G47" s="100">
        <f t="shared" si="1"/>
        <v>1260</v>
      </c>
      <c r="H47" s="134" t="s">
        <v>659</v>
      </c>
    </row>
    <row r="48" spans="1:8" ht="86.25" customHeight="1" x14ac:dyDescent="0.25">
      <c r="A48" s="265"/>
      <c r="B48" s="258"/>
      <c r="C48" s="265"/>
      <c r="D48" s="265" t="s">
        <v>41</v>
      </c>
      <c r="E48" s="32" t="s">
        <v>2</v>
      </c>
      <c r="F48" s="83">
        <v>3000</v>
      </c>
      <c r="G48" s="100">
        <f t="shared" si="1"/>
        <v>3600</v>
      </c>
      <c r="H48" s="134" t="s">
        <v>672</v>
      </c>
    </row>
    <row r="49" spans="1:8" ht="94.5" x14ac:dyDescent="0.25">
      <c r="A49" s="265"/>
      <c r="B49" s="258"/>
      <c r="C49" s="265"/>
      <c r="D49" s="265"/>
      <c r="E49" s="32" t="s">
        <v>2</v>
      </c>
      <c r="F49" s="83">
        <v>4500</v>
      </c>
      <c r="G49" s="100">
        <f t="shared" si="1"/>
        <v>5400</v>
      </c>
      <c r="H49" s="134" t="s">
        <v>662</v>
      </c>
    </row>
    <row r="50" spans="1:8" ht="63" x14ac:dyDescent="0.25">
      <c r="A50" s="265"/>
      <c r="B50" s="258"/>
      <c r="C50" s="265"/>
      <c r="D50" s="19" t="s">
        <v>40</v>
      </c>
      <c r="E50" s="44" t="s">
        <v>11</v>
      </c>
      <c r="F50" s="19" t="s">
        <v>14</v>
      </c>
      <c r="G50" s="19"/>
      <c r="H50" s="96" t="s">
        <v>90</v>
      </c>
    </row>
    <row r="51" spans="1:8" x14ac:dyDescent="0.25">
      <c r="A51" s="265"/>
      <c r="B51" s="258"/>
      <c r="C51" s="265"/>
      <c r="D51" s="19" t="s">
        <v>91</v>
      </c>
      <c r="E51" s="44" t="s">
        <v>2</v>
      </c>
      <c r="F51" s="19" t="s">
        <v>14</v>
      </c>
      <c r="G51" s="19"/>
      <c r="H51" s="96"/>
    </row>
    <row r="52" spans="1:8" x14ac:dyDescent="0.25">
      <c r="A52" s="258" t="s">
        <v>81</v>
      </c>
      <c r="B52" s="258"/>
      <c r="C52" s="258" t="s">
        <v>82</v>
      </c>
      <c r="D52" s="258"/>
      <c r="E52" s="258"/>
      <c r="F52" s="258"/>
      <c r="G52" s="258"/>
      <c r="H52" s="258"/>
    </row>
    <row r="53" spans="1:8" x14ac:dyDescent="0.25">
      <c r="A53" s="432">
        <v>9</v>
      </c>
      <c r="B53" s="465" t="s">
        <v>83</v>
      </c>
      <c r="C53" s="262" t="s">
        <v>84</v>
      </c>
      <c r="D53" s="262"/>
      <c r="E53" s="262"/>
      <c r="F53" s="262"/>
      <c r="G53" s="262"/>
      <c r="H53" s="262"/>
    </row>
    <row r="54" spans="1:8" ht="31.5" x14ac:dyDescent="0.25">
      <c r="A54" s="433"/>
      <c r="B54" s="467"/>
      <c r="C54" s="2" t="s">
        <v>84</v>
      </c>
      <c r="D54" s="2" t="s">
        <v>85</v>
      </c>
      <c r="E54" s="32" t="s">
        <v>12</v>
      </c>
      <c r="F54" s="31">
        <v>1413</v>
      </c>
      <c r="G54" s="17">
        <f>F54*1.2</f>
        <v>1695.6</v>
      </c>
      <c r="H54" s="39" t="s">
        <v>673</v>
      </c>
    </row>
    <row r="55" spans="1:8" ht="31.5" x14ac:dyDescent="0.25">
      <c r="A55" s="434"/>
      <c r="B55" s="535"/>
      <c r="C55" s="39" t="s">
        <v>84</v>
      </c>
      <c r="D55" s="2" t="s">
        <v>85</v>
      </c>
      <c r="E55" s="32" t="s">
        <v>12</v>
      </c>
      <c r="F55" s="31">
        <v>1413</v>
      </c>
      <c r="G55" s="17">
        <f>F55*1.2</f>
        <v>1695.6</v>
      </c>
      <c r="H55" s="39" t="s">
        <v>86</v>
      </c>
    </row>
    <row r="56" spans="1:8" x14ac:dyDescent="0.25">
      <c r="A56" s="432">
        <v>10</v>
      </c>
      <c r="B56" s="307" t="s">
        <v>87</v>
      </c>
      <c r="C56" s="262" t="s">
        <v>88</v>
      </c>
      <c r="D56" s="262"/>
      <c r="E56" s="262"/>
      <c r="F56" s="262"/>
      <c r="G56" s="262"/>
      <c r="H56" s="408"/>
    </row>
    <row r="57" spans="1:8" ht="165.75" customHeight="1" x14ac:dyDescent="0.25">
      <c r="A57" s="434"/>
      <c r="B57" s="309"/>
      <c r="C57" s="2" t="s">
        <v>88</v>
      </c>
      <c r="D57" s="15" t="s">
        <v>89</v>
      </c>
      <c r="E57" s="32" t="s">
        <v>12</v>
      </c>
      <c r="F57" s="78">
        <v>173</v>
      </c>
      <c r="G57" s="17">
        <f>F57*1.2</f>
        <v>207.6</v>
      </c>
      <c r="H57" s="2" t="s">
        <v>674</v>
      </c>
    </row>
    <row r="58" spans="1:8" x14ac:dyDescent="0.25">
      <c r="A58" s="311">
        <v>11</v>
      </c>
      <c r="B58" s="307" t="s">
        <v>44</v>
      </c>
      <c r="C58" s="279" t="s">
        <v>157</v>
      </c>
      <c r="D58" s="279"/>
      <c r="E58" s="279"/>
      <c r="F58" s="279"/>
      <c r="G58" s="279"/>
      <c r="H58" s="279"/>
    </row>
    <row r="59" spans="1:8" ht="31.5" x14ac:dyDescent="0.25">
      <c r="A59" s="313"/>
      <c r="B59" s="309"/>
      <c r="C59" s="14" t="s">
        <v>77</v>
      </c>
      <c r="D59" s="14" t="s">
        <v>45</v>
      </c>
      <c r="E59" s="17" t="s">
        <v>56</v>
      </c>
      <c r="F59" s="32">
        <v>711</v>
      </c>
      <c r="G59" s="17">
        <f>F59*1.2</f>
        <v>853.19999999999993</v>
      </c>
      <c r="H59" s="79" t="s">
        <v>103</v>
      </c>
    </row>
    <row r="60" spans="1:8" x14ac:dyDescent="0.25">
      <c r="A60" s="311">
        <v>12</v>
      </c>
      <c r="B60" s="307" t="s">
        <v>175</v>
      </c>
      <c r="C60" s="443" t="s">
        <v>94</v>
      </c>
      <c r="D60" s="444"/>
      <c r="E60" s="444"/>
      <c r="F60" s="444"/>
      <c r="G60" s="444"/>
      <c r="H60" s="445"/>
    </row>
    <row r="61" spans="1:8" ht="78.75" x14ac:dyDescent="0.25">
      <c r="A61" s="313"/>
      <c r="B61" s="309"/>
      <c r="C61" s="14" t="s">
        <v>94</v>
      </c>
      <c r="D61" s="53" t="s">
        <v>3</v>
      </c>
      <c r="E61" s="53"/>
      <c r="F61" s="263" t="s">
        <v>92</v>
      </c>
      <c r="G61" s="263"/>
      <c r="H61" s="53" t="s">
        <v>93</v>
      </c>
    </row>
    <row r="62" spans="1:8" x14ac:dyDescent="0.25">
      <c r="A62" s="461" t="s">
        <v>46</v>
      </c>
      <c r="B62" s="463"/>
      <c r="C62" s="264" t="s">
        <v>47</v>
      </c>
      <c r="D62" s="264"/>
      <c r="E62" s="264"/>
      <c r="F62" s="264"/>
      <c r="G62" s="264"/>
      <c r="H62" s="264"/>
    </row>
    <row r="63" spans="1:8" ht="31.5" x14ac:dyDescent="0.25">
      <c r="A63" s="76">
        <v>13</v>
      </c>
      <c r="B63" s="13" t="s">
        <v>306</v>
      </c>
      <c r="C63" s="2" t="s">
        <v>55</v>
      </c>
      <c r="D63" s="2" t="s">
        <v>11</v>
      </c>
      <c r="E63" s="17" t="s">
        <v>56</v>
      </c>
      <c r="F63" s="259" t="s">
        <v>14</v>
      </c>
      <c r="G63" s="259"/>
      <c r="H63" s="2" t="s">
        <v>95</v>
      </c>
    </row>
    <row r="64" spans="1:8" x14ac:dyDescent="0.25">
      <c r="A64" s="257">
        <v>14</v>
      </c>
      <c r="B64" s="258" t="s">
        <v>48</v>
      </c>
      <c r="C64" s="260" t="s">
        <v>49</v>
      </c>
      <c r="D64" s="261" t="s">
        <v>11</v>
      </c>
      <c r="E64" s="32" t="s">
        <v>12</v>
      </c>
      <c r="F64" s="259" t="s">
        <v>14</v>
      </c>
      <c r="G64" s="259"/>
      <c r="H64" s="260" t="s">
        <v>74</v>
      </c>
    </row>
    <row r="65" spans="1:8" x14ac:dyDescent="0.25">
      <c r="A65" s="257"/>
      <c r="B65" s="258"/>
      <c r="C65" s="260"/>
      <c r="D65" s="261"/>
      <c r="E65" s="17" t="s">
        <v>13</v>
      </c>
      <c r="F65" s="259"/>
      <c r="G65" s="259"/>
      <c r="H65" s="260"/>
    </row>
    <row r="66" spans="1:8" x14ac:dyDescent="0.25">
      <c r="A66" s="443" t="s">
        <v>185</v>
      </c>
      <c r="B66" s="444"/>
      <c r="C66" s="444"/>
      <c r="D66" s="444"/>
      <c r="E66" s="444"/>
      <c r="F66" s="444"/>
      <c r="G66" s="444"/>
      <c r="H66" s="445"/>
    </row>
    <row r="67" spans="1:8" x14ac:dyDescent="0.25">
      <c r="A67" s="257">
        <v>15</v>
      </c>
      <c r="B67" s="307" t="s">
        <v>313</v>
      </c>
      <c r="C67" s="372" t="s">
        <v>51</v>
      </c>
      <c r="D67" s="2"/>
      <c r="E67" s="32"/>
      <c r="F67" s="2"/>
      <c r="G67" s="17"/>
      <c r="H67" s="2"/>
    </row>
    <row r="68" spans="1:8" ht="31.5" x14ac:dyDescent="0.25">
      <c r="A68" s="257"/>
      <c r="B68" s="309"/>
      <c r="C68" s="330"/>
      <c r="D68" s="2" t="s">
        <v>63</v>
      </c>
      <c r="E68" s="32" t="s">
        <v>12</v>
      </c>
      <c r="F68" s="78">
        <v>212</v>
      </c>
      <c r="G68" s="17">
        <f>F68*1.2</f>
        <v>254.39999999999998</v>
      </c>
      <c r="H68" s="2" t="s">
        <v>64</v>
      </c>
    </row>
    <row r="69" spans="1:8" ht="47.25" x14ac:dyDescent="0.25">
      <c r="A69" s="76">
        <v>16</v>
      </c>
      <c r="B69" s="52" t="s">
        <v>316</v>
      </c>
      <c r="C69" s="53" t="s">
        <v>59</v>
      </c>
      <c r="D69" s="54" t="s">
        <v>3</v>
      </c>
      <c r="E69" s="17" t="s">
        <v>56</v>
      </c>
      <c r="F69" s="55">
        <v>2181.91</v>
      </c>
      <c r="G69" s="55">
        <f>F69*1.2</f>
        <v>2618.2919999999999</v>
      </c>
      <c r="H69" s="2"/>
    </row>
    <row r="70" spans="1:8" x14ac:dyDescent="0.25">
      <c r="A70" s="56"/>
      <c r="B70" s="56"/>
      <c r="C70" s="56"/>
      <c r="D70" s="56"/>
      <c r="E70" s="56"/>
      <c r="F70" s="56"/>
      <c r="G70" s="57"/>
      <c r="H70" s="58"/>
    </row>
    <row r="71" spans="1:8" x14ac:dyDescent="0.25">
      <c r="A71" s="168" t="s">
        <v>65</v>
      </c>
      <c r="B71" s="94"/>
      <c r="C71" s="94"/>
      <c r="D71" s="62"/>
      <c r="E71" s="62"/>
      <c r="F71" s="56"/>
      <c r="G71" s="57"/>
      <c r="H71" s="58"/>
    </row>
    <row r="72" spans="1:8" x14ac:dyDescent="0.25">
      <c r="A72" s="168"/>
      <c r="B72" s="94"/>
      <c r="C72" s="94"/>
      <c r="D72" s="111"/>
      <c r="E72" s="62"/>
      <c r="F72" s="112"/>
      <c r="G72" s="113"/>
      <c r="H72" s="114"/>
    </row>
    <row r="73" spans="1:8" x14ac:dyDescent="0.25">
      <c r="A73" s="168" t="s">
        <v>96</v>
      </c>
      <c r="B73" s="94"/>
      <c r="C73" s="94"/>
      <c r="D73" s="111"/>
      <c r="E73" s="152" t="s">
        <v>333</v>
      </c>
      <c r="F73" s="112"/>
      <c r="G73" s="113"/>
      <c r="H73" s="114"/>
    </row>
    <row r="74" spans="1:8" x14ac:dyDescent="0.25">
      <c r="A74" s="168"/>
      <c r="B74" s="94"/>
      <c r="C74" s="94"/>
      <c r="D74" s="111"/>
      <c r="E74" s="152"/>
      <c r="F74" s="112"/>
      <c r="G74" s="113"/>
      <c r="H74" s="114"/>
    </row>
    <row r="75" spans="1:8" x14ac:dyDescent="0.25">
      <c r="A75" s="168" t="s">
        <v>66</v>
      </c>
      <c r="B75" s="94"/>
      <c r="C75" s="94"/>
      <c r="D75" s="111"/>
      <c r="E75" s="152" t="s">
        <v>334</v>
      </c>
      <c r="F75" s="116"/>
      <c r="G75" s="117"/>
      <c r="H75" s="118"/>
    </row>
    <row r="76" spans="1:8" x14ac:dyDescent="0.25">
      <c r="A76" s="168"/>
      <c r="B76" s="94"/>
      <c r="C76" s="94"/>
      <c r="D76" s="111"/>
      <c r="E76" s="152"/>
      <c r="F76" s="116"/>
      <c r="G76" s="117"/>
      <c r="H76" s="118"/>
    </row>
    <row r="77" spans="1:8" x14ac:dyDescent="0.25">
      <c r="A77" s="168" t="s">
        <v>68</v>
      </c>
      <c r="B77" s="94"/>
      <c r="C77" s="94"/>
      <c r="D77" s="111"/>
      <c r="E77" s="152" t="s">
        <v>668</v>
      </c>
      <c r="F77" s="59"/>
      <c r="G77" s="60"/>
      <c r="H77" s="61"/>
    </row>
    <row r="78" spans="1:8" x14ac:dyDescent="0.25">
      <c r="A78" s="168"/>
      <c r="B78" s="94"/>
      <c r="C78" s="94"/>
      <c r="D78" s="56"/>
      <c r="E78" s="511"/>
      <c r="F78" s="56"/>
      <c r="G78" s="57"/>
      <c r="H78" s="58"/>
    </row>
    <row r="79" spans="1:8" x14ac:dyDescent="0.25">
      <c r="A79" s="168" t="s">
        <v>75</v>
      </c>
      <c r="B79" s="94"/>
      <c r="C79" s="94"/>
      <c r="D79" s="86"/>
      <c r="E79" s="152" t="s">
        <v>669</v>
      </c>
      <c r="F79" s="116"/>
      <c r="G79" s="117"/>
      <c r="H79" s="118"/>
    </row>
  </sheetData>
  <mergeCells count="100">
    <mergeCell ref="A18:B18"/>
    <mergeCell ref="C18:H18"/>
    <mergeCell ref="A66:H66"/>
    <mergeCell ref="C56:H56"/>
    <mergeCell ref="B56:B57"/>
    <mergeCell ref="A56:A57"/>
    <mergeCell ref="C53:H53"/>
    <mergeCell ref="B53:B55"/>
    <mergeCell ref="A53:A55"/>
    <mergeCell ref="C58:H58"/>
    <mergeCell ref="B58:B59"/>
    <mergeCell ref="A58:A59"/>
    <mergeCell ref="C60:H60"/>
    <mergeCell ref="B60:B61"/>
    <mergeCell ref="A60:A61"/>
    <mergeCell ref="G1:H1"/>
    <mergeCell ref="G2:H2"/>
    <mergeCell ref="G3:H3"/>
    <mergeCell ref="G5:H5"/>
    <mergeCell ref="A7:H7"/>
    <mergeCell ref="H15:H17"/>
    <mergeCell ref="F16:G16"/>
    <mergeCell ref="F17:G17"/>
    <mergeCell ref="A8:H8"/>
    <mergeCell ref="A9:H9"/>
    <mergeCell ref="A10:H10"/>
    <mergeCell ref="A11:H11"/>
    <mergeCell ref="A13:H13"/>
    <mergeCell ref="A14:B14"/>
    <mergeCell ref="C14:H14"/>
    <mergeCell ref="A15:A17"/>
    <mergeCell ref="B15:B17"/>
    <mergeCell ref="C15:C17"/>
    <mergeCell ref="D15:D16"/>
    <mergeCell ref="F15:G15"/>
    <mergeCell ref="H22:H24"/>
    <mergeCell ref="F23:G23"/>
    <mergeCell ref="F24:G24"/>
    <mergeCell ref="A19:A21"/>
    <mergeCell ref="B19:B21"/>
    <mergeCell ref="C19:C21"/>
    <mergeCell ref="D19:D20"/>
    <mergeCell ref="F19:G19"/>
    <mergeCell ref="H19:H21"/>
    <mergeCell ref="F20:G20"/>
    <mergeCell ref="F21:G21"/>
    <mergeCell ref="A22:A24"/>
    <mergeCell ref="B22:B24"/>
    <mergeCell ref="C22:C24"/>
    <mergeCell ref="D22:D23"/>
    <mergeCell ref="F22:G22"/>
    <mergeCell ref="H34:H36"/>
    <mergeCell ref="F35:G35"/>
    <mergeCell ref="F36:G36"/>
    <mergeCell ref="A25:A30"/>
    <mergeCell ref="B25:B30"/>
    <mergeCell ref="C25:H25"/>
    <mergeCell ref="H26:H30"/>
    <mergeCell ref="F41:G41"/>
    <mergeCell ref="A42:A51"/>
    <mergeCell ref="B42:B51"/>
    <mergeCell ref="C42:C51"/>
    <mergeCell ref="D42:D44"/>
    <mergeCell ref="E42:E44"/>
    <mergeCell ref="D45:D47"/>
    <mergeCell ref="E45:E47"/>
    <mergeCell ref="D48:D49"/>
    <mergeCell ref="A39:A41"/>
    <mergeCell ref="B39:B41"/>
    <mergeCell ref="C39:C41"/>
    <mergeCell ref="D39:D40"/>
    <mergeCell ref="F39:G39"/>
    <mergeCell ref="F40:G40"/>
    <mergeCell ref="H64:H65"/>
    <mergeCell ref="A52:B52"/>
    <mergeCell ref="C52:H52"/>
    <mergeCell ref="F61:G61"/>
    <mergeCell ref="A62:B62"/>
    <mergeCell ref="C62:H62"/>
    <mergeCell ref="F63:G63"/>
    <mergeCell ref="B64:B65"/>
    <mergeCell ref="C64:C65"/>
    <mergeCell ref="D64:D65"/>
    <mergeCell ref="F64:G65"/>
    <mergeCell ref="A64:A65"/>
    <mergeCell ref="B31:B33"/>
    <mergeCell ref="A67:A68"/>
    <mergeCell ref="B67:B68"/>
    <mergeCell ref="C67:C68"/>
    <mergeCell ref="A37:H37"/>
    <mergeCell ref="A38:B38"/>
    <mergeCell ref="C38:H38"/>
    <mergeCell ref="H39:H41"/>
    <mergeCell ref="A31:A33"/>
    <mergeCell ref="C31:H31"/>
    <mergeCell ref="A34:A36"/>
    <mergeCell ref="B34:B36"/>
    <mergeCell ref="C34:C36"/>
    <mergeCell ref="D34:D35"/>
    <mergeCell ref="F34:G3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5"/>
  <sheetViews>
    <sheetView tabSelected="1" zoomScale="80" zoomScaleNormal="80" workbookViewId="0"/>
  </sheetViews>
  <sheetFormatPr defaultRowHeight="15.75" x14ac:dyDescent="0.25"/>
  <cols>
    <col min="1" max="1" width="7.5703125" style="120" customWidth="1"/>
    <col min="2" max="2" width="13" style="120" customWidth="1"/>
    <col min="3" max="3" width="47.28515625" style="120" customWidth="1"/>
    <col min="4" max="4" width="15.140625" style="120" customWidth="1"/>
    <col min="5" max="5" width="17.28515625" style="120" customWidth="1"/>
    <col min="6" max="7" width="17.5703125" style="120" customWidth="1"/>
    <col min="8" max="8" width="58.7109375" style="120" customWidth="1"/>
    <col min="9" max="16384" width="9.140625" style="120"/>
  </cols>
  <sheetData>
    <row r="1" spans="1:8" x14ac:dyDescent="0.25">
      <c r="A1" s="106"/>
      <c r="B1" s="107"/>
      <c r="C1" s="107"/>
      <c r="D1" s="107"/>
      <c r="E1" s="107"/>
      <c r="F1" s="3"/>
      <c r="G1" s="272" t="s">
        <v>0</v>
      </c>
      <c r="H1" s="272"/>
    </row>
    <row r="2" spans="1:8" x14ac:dyDescent="0.25">
      <c r="A2" s="106"/>
      <c r="B2" s="107"/>
      <c r="C2" s="107"/>
      <c r="D2" s="107"/>
      <c r="E2" s="107"/>
      <c r="F2" s="3"/>
      <c r="G2" s="273" t="s">
        <v>62</v>
      </c>
      <c r="H2" s="273"/>
    </row>
    <row r="3" spans="1:8" x14ac:dyDescent="0.25">
      <c r="A3" s="106"/>
      <c r="B3" s="107"/>
      <c r="C3" s="107"/>
      <c r="D3" s="107"/>
      <c r="E3" s="107"/>
      <c r="F3" s="3"/>
      <c r="G3" s="274" t="s">
        <v>1</v>
      </c>
      <c r="H3" s="274"/>
    </row>
    <row r="4" spans="1:8" x14ac:dyDescent="0.25">
      <c r="A4" s="106"/>
      <c r="B4" s="107"/>
      <c r="C4" s="107"/>
      <c r="D4" s="107"/>
      <c r="E4" s="107"/>
      <c r="F4" s="109"/>
      <c r="G4" s="174"/>
      <c r="H4" s="553"/>
    </row>
    <row r="5" spans="1:8" x14ac:dyDescent="0.25">
      <c r="A5" s="106"/>
      <c r="B5" s="107"/>
      <c r="C5" s="107"/>
      <c r="D5" s="107"/>
      <c r="E5" s="107"/>
      <c r="F5" s="3"/>
      <c r="G5" s="275" t="s">
        <v>666</v>
      </c>
      <c r="H5" s="275"/>
    </row>
    <row r="6" spans="1:8" x14ac:dyDescent="0.25">
      <c r="A6" s="12"/>
      <c r="B6" s="12"/>
      <c r="C6" s="12"/>
      <c r="D6" s="12"/>
      <c r="E6" s="12"/>
      <c r="F6" s="12"/>
      <c r="G6" s="34"/>
      <c r="H6" s="223"/>
    </row>
    <row r="7" spans="1:8" x14ac:dyDescent="0.25">
      <c r="A7" s="270" t="s">
        <v>10</v>
      </c>
      <c r="B7" s="270"/>
      <c r="C7" s="270"/>
      <c r="D7" s="270"/>
      <c r="E7" s="270"/>
      <c r="F7" s="270"/>
      <c r="G7" s="270"/>
      <c r="H7" s="270"/>
    </row>
    <row r="8" spans="1:8" x14ac:dyDescent="0.25">
      <c r="A8" s="270" t="s">
        <v>397</v>
      </c>
      <c r="B8" s="270"/>
      <c r="C8" s="270"/>
      <c r="D8" s="270"/>
      <c r="E8" s="270"/>
      <c r="F8" s="270"/>
      <c r="G8" s="270"/>
      <c r="H8" s="270"/>
    </row>
    <row r="9" spans="1:8" x14ac:dyDescent="0.25">
      <c r="A9" s="270" t="s">
        <v>730</v>
      </c>
      <c r="B9" s="270"/>
      <c r="C9" s="270"/>
      <c r="D9" s="270"/>
      <c r="E9" s="270"/>
      <c r="F9" s="270"/>
      <c r="G9" s="270"/>
      <c r="H9" s="270"/>
    </row>
    <row r="10" spans="1:8" x14ac:dyDescent="0.25">
      <c r="A10" s="270" t="s">
        <v>595</v>
      </c>
      <c r="B10" s="270"/>
      <c r="C10" s="270"/>
      <c r="D10" s="270"/>
      <c r="E10" s="270"/>
      <c r="F10" s="270"/>
      <c r="G10" s="270"/>
      <c r="H10" s="270"/>
    </row>
    <row r="11" spans="1:8" x14ac:dyDescent="0.25">
      <c r="A11" s="410"/>
      <c r="B11" s="410"/>
      <c r="C11" s="410"/>
      <c r="D11" s="410"/>
      <c r="E11" s="410"/>
      <c r="F11" s="410"/>
      <c r="G11" s="410"/>
      <c r="H11" s="410"/>
    </row>
    <row r="12" spans="1:8" ht="48.75" customHeight="1" x14ac:dyDescent="0.25">
      <c r="A12" s="35" t="s">
        <v>4</v>
      </c>
      <c r="B12" s="35" t="s">
        <v>7</v>
      </c>
      <c r="C12" s="35" t="s">
        <v>5</v>
      </c>
      <c r="D12" s="35" t="s">
        <v>6</v>
      </c>
      <c r="E12" s="35" t="s">
        <v>8</v>
      </c>
      <c r="F12" s="35" t="s">
        <v>200</v>
      </c>
      <c r="G12" s="36" t="s">
        <v>201</v>
      </c>
      <c r="H12" s="35" t="s">
        <v>9</v>
      </c>
    </row>
    <row r="13" spans="1:8" x14ac:dyDescent="0.25">
      <c r="A13" s="262" t="s">
        <v>19</v>
      </c>
      <c r="B13" s="262"/>
      <c r="C13" s="262"/>
      <c r="D13" s="262"/>
      <c r="E13" s="262"/>
      <c r="F13" s="262"/>
      <c r="G13" s="262"/>
      <c r="H13" s="262"/>
    </row>
    <row r="14" spans="1:8" x14ac:dyDescent="0.25">
      <c r="A14" s="258" t="s">
        <v>20</v>
      </c>
      <c r="B14" s="258"/>
      <c r="C14" s="262" t="s">
        <v>21</v>
      </c>
      <c r="D14" s="262"/>
      <c r="E14" s="262"/>
      <c r="F14" s="262"/>
      <c r="G14" s="262"/>
      <c r="H14" s="262"/>
    </row>
    <row r="15" spans="1:8" x14ac:dyDescent="0.25">
      <c r="A15" s="265" t="s">
        <v>15</v>
      </c>
      <c r="B15" s="258" t="s">
        <v>22</v>
      </c>
      <c r="C15" s="269" t="s">
        <v>57</v>
      </c>
      <c r="D15" s="265" t="s">
        <v>11</v>
      </c>
      <c r="E15" s="38" t="s">
        <v>12</v>
      </c>
      <c r="F15" s="265" t="s">
        <v>14</v>
      </c>
      <c r="G15" s="265"/>
      <c r="H15" s="267" t="s">
        <v>596</v>
      </c>
    </row>
    <row r="16" spans="1:8" ht="31.5" x14ac:dyDescent="0.25">
      <c r="A16" s="265"/>
      <c r="B16" s="258"/>
      <c r="C16" s="269"/>
      <c r="D16" s="265"/>
      <c r="E16" s="38" t="s">
        <v>206</v>
      </c>
      <c r="F16" s="265" t="s">
        <v>14</v>
      </c>
      <c r="G16" s="265"/>
      <c r="H16" s="280"/>
    </row>
    <row r="17" spans="1:8" x14ac:dyDescent="0.25">
      <c r="A17" s="265"/>
      <c r="B17" s="258"/>
      <c r="C17" s="269"/>
      <c r="D17" s="39" t="s">
        <v>2</v>
      </c>
      <c r="E17" s="38"/>
      <c r="F17" s="265" t="s">
        <v>14</v>
      </c>
      <c r="G17" s="265"/>
      <c r="H17" s="280"/>
    </row>
    <row r="18" spans="1:8" x14ac:dyDescent="0.25">
      <c r="A18" s="265" t="s">
        <v>18</v>
      </c>
      <c r="B18" s="258" t="s">
        <v>23</v>
      </c>
      <c r="C18" s="269" t="s">
        <v>597</v>
      </c>
      <c r="D18" s="265" t="s">
        <v>11</v>
      </c>
      <c r="E18" s="38" t="s">
        <v>12</v>
      </c>
      <c r="F18" s="265" t="s">
        <v>14</v>
      </c>
      <c r="G18" s="265"/>
      <c r="H18" s="267" t="s">
        <v>598</v>
      </c>
    </row>
    <row r="19" spans="1:8" ht="31.5" x14ac:dyDescent="0.25">
      <c r="A19" s="265"/>
      <c r="B19" s="258"/>
      <c r="C19" s="269"/>
      <c r="D19" s="265"/>
      <c r="E19" s="38" t="s">
        <v>206</v>
      </c>
      <c r="F19" s="265" t="s">
        <v>14</v>
      </c>
      <c r="G19" s="265"/>
      <c r="H19" s="280"/>
    </row>
    <row r="20" spans="1:8" x14ac:dyDescent="0.25">
      <c r="A20" s="265"/>
      <c r="B20" s="258"/>
      <c r="C20" s="269"/>
      <c r="D20" s="39" t="s">
        <v>2</v>
      </c>
      <c r="E20" s="38"/>
      <c r="F20" s="265" t="s">
        <v>14</v>
      </c>
      <c r="G20" s="265"/>
      <c r="H20" s="280"/>
    </row>
    <row r="21" spans="1:8" x14ac:dyDescent="0.25">
      <c r="A21" s="265" t="s">
        <v>16</v>
      </c>
      <c r="B21" s="258" t="s">
        <v>24</v>
      </c>
      <c r="C21" s="269" t="s">
        <v>50</v>
      </c>
      <c r="D21" s="265" t="s">
        <v>11</v>
      </c>
      <c r="E21" s="38" t="s">
        <v>12</v>
      </c>
      <c r="F21" s="265" t="s">
        <v>14</v>
      </c>
      <c r="G21" s="265"/>
      <c r="H21" s="267" t="s">
        <v>598</v>
      </c>
    </row>
    <row r="22" spans="1:8" ht="31.5" x14ac:dyDescent="0.25">
      <c r="A22" s="265"/>
      <c r="B22" s="258"/>
      <c r="C22" s="269"/>
      <c r="D22" s="265"/>
      <c r="E22" s="38" t="s">
        <v>206</v>
      </c>
      <c r="F22" s="265" t="s">
        <v>14</v>
      </c>
      <c r="G22" s="265"/>
      <c r="H22" s="280"/>
    </row>
    <row r="23" spans="1:8" x14ac:dyDescent="0.25">
      <c r="A23" s="265"/>
      <c r="B23" s="258"/>
      <c r="C23" s="269"/>
      <c r="D23" s="39" t="s">
        <v>2</v>
      </c>
      <c r="E23" s="38"/>
      <c r="F23" s="265" t="s">
        <v>14</v>
      </c>
      <c r="G23" s="265"/>
      <c r="H23" s="280"/>
    </row>
    <row r="24" spans="1:8" x14ac:dyDescent="0.25">
      <c r="A24" s="265" t="s">
        <v>17</v>
      </c>
      <c r="B24" s="258" t="s">
        <v>26</v>
      </c>
      <c r="C24" s="258" t="s">
        <v>25</v>
      </c>
      <c r="D24" s="258"/>
      <c r="E24" s="258"/>
      <c r="F24" s="258"/>
      <c r="G24" s="258"/>
      <c r="H24" s="258"/>
    </row>
    <row r="25" spans="1:8" x14ac:dyDescent="0.25">
      <c r="A25" s="265"/>
      <c r="B25" s="258"/>
      <c r="C25" s="267" t="s">
        <v>599</v>
      </c>
      <c r="D25" s="42" t="s">
        <v>11</v>
      </c>
      <c r="E25" s="96" t="s">
        <v>12</v>
      </c>
      <c r="F25" s="78">
        <f>2581*1.1+0.9</f>
        <v>2840.0000000000005</v>
      </c>
      <c r="G25" s="100">
        <f t="shared" ref="G25:G75" si="0">F25*1.2</f>
        <v>3408.0000000000005</v>
      </c>
      <c r="H25" s="393" t="s">
        <v>701</v>
      </c>
    </row>
    <row r="26" spans="1:8" x14ac:dyDescent="0.25">
      <c r="A26" s="265"/>
      <c r="B26" s="258"/>
      <c r="C26" s="267"/>
      <c r="D26" s="42" t="s">
        <v>11</v>
      </c>
      <c r="E26" s="505" t="s">
        <v>13</v>
      </c>
      <c r="F26" s="78">
        <f>4095*1.1+0.5</f>
        <v>4505</v>
      </c>
      <c r="G26" s="100">
        <f t="shared" si="0"/>
        <v>5406</v>
      </c>
      <c r="H26" s="397"/>
    </row>
    <row r="27" spans="1:8" x14ac:dyDescent="0.25">
      <c r="A27" s="265"/>
      <c r="B27" s="258"/>
      <c r="C27" s="280" t="s">
        <v>600</v>
      </c>
      <c r="D27" s="42" t="s">
        <v>11</v>
      </c>
      <c r="E27" s="96" t="s">
        <v>12</v>
      </c>
      <c r="F27" s="78">
        <f>4622*1.1+0.8</f>
        <v>5085.0000000000009</v>
      </c>
      <c r="G27" s="100">
        <f t="shared" si="0"/>
        <v>6102.0000000000009</v>
      </c>
      <c r="H27" s="397"/>
    </row>
    <row r="28" spans="1:8" x14ac:dyDescent="0.25">
      <c r="A28" s="265"/>
      <c r="B28" s="258"/>
      <c r="C28" s="280"/>
      <c r="D28" s="42" t="s">
        <v>11</v>
      </c>
      <c r="E28" s="505" t="s">
        <v>13</v>
      </c>
      <c r="F28" s="78">
        <f>6402*1.1+0.8</f>
        <v>7043.0000000000009</v>
      </c>
      <c r="G28" s="100">
        <f t="shared" si="0"/>
        <v>8451.6</v>
      </c>
      <c r="H28" s="397"/>
    </row>
    <row r="29" spans="1:8" x14ac:dyDescent="0.25">
      <c r="A29" s="265"/>
      <c r="B29" s="258"/>
      <c r="C29" s="280" t="s">
        <v>372</v>
      </c>
      <c r="D29" s="42" t="s">
        <v>11</v>
      </c>
      <c r="E29" s="96" t="s">
        <v>12</v>
      </c>
      <c r="F29" s="78">
        <f>7004*1.1+0.6</f>
        <v>7705.0000000000009</v>
      </c>
      <c r="G29" s="100">
        <f t="shared" si="0"/>
        <v>9246</v>
      </c>
      <c r="H29" s="397"/>
    </row>
    <row r="30" spans="1:8" x14ac:dyDescent="0.25">
      <c r="A30" s="265"/>
      <c r="B30" s="258"/>
      <c r="C30" s="280"/>
      <c r="D30" s="42" t="s">
        <v>11</v>
      </c>
      <c r="E30" s="505" t="s">
        <v>13</v>
      </c>
      <c r="F30" s="78">
        <f>9046*1.1+0.4</f>
        <v>9951</v>
      </c>
      <c r="G30" s="100">
        <f t="shared" si="0"/>
        <v>11941.199999999999</v>
      </c>
      <c r="H30" s="397"/>
    </row>
    <row r="31" spans="1:8" x14ac:dyDescent="0.25">
      <c r="A31" s="265"/>
      <c r="B31" s="258"/>
      <c r="C31" s="431" t="s">
        <v>601</v>
      </c>
      <c r="D31" s="42" t="s">
        <v>11</v>
      </c>
      <c r="E31" s="96" t="s">
        <v>12</v>
      </c>
      <c r="F31" s="78">
        <f>7763*1.1+0.7</f>
        <v>8540.0000000000018</v>
      </c>
      <c r="G31" s="100">
        <f t="shared" si="0"/>
        <v>10248.000000000002</v>
      </c>
      <c r="H31" s="397"/>
    </row>
    <row r="32" spans="1:8" x14ac:dyDescent="0.25">
      <c r="A32" s="265"/>
      <c r="B32" s="258"/>
      <c r="C32" s="431"/>
      <c r="D32" s="42" t="s">
        <v>11</v>
      </c>
      <c r="E32" s="505" t="s">
        <v>13</v>
      </c>
      <c r="F32" s="78">
        <f>12404*1.1+0.6</f>
        <v>13645.000000000002</v>
      </c>
      <c r="G32" s="100">
        <f t="shared" si="0"/>
        <v>16374.000000000002</v>
      </c>
      <c r="H32" s="397"/>
    </row>
    <row r="33" spans="1:8" x14ac:dyDescent="0.25">
      <c r="A33" s="265"/>
      <c r="B33" s="258"/>
      <c r="C33" s="280" t="s">
        <v>602</v>
      </c>
      <c r="D33" s="42" t="s">
        <v>11</v>
      </c>
      <c r="E33" s="96" t="s">
        <v>12</v>
      </c>
      <c r="F33" s="78">
        <f>8168*1.1+0.2</f>
        <v>8985.0000000000018</v>
      </c>
      <c r="G33" s="100">
        <f t="shared" si="0"/>
        <v>10782.000000000002</v>
      </c>
      <c r="H33" s="397"/>
    </row>
    <row r="34" spans="1:8" x14ac:dyDescent="0.25">
      <c r="A34" s="265"/>
      <c r="B34" s="258"/>
      <c r="C34" s="280"/>
      <c r="D34" s="42" t="s">
        <v>11</v>
      </c>
      <c r="E34" s="505" t="s">
        <v>13</v>
      </c>
      <c r="F34" s="78">
        <f>12705*1.14+0.3</f>
        <v>14483.999999999998</v>
      </c>
      <c r="G34" s="100">
        <f t="shared" si="0"/>
        <v>17380.799999999996</v>
      </c>
      <c r="H34" s="397"/>
    </row>
    <row r="35" spans="1:8" x14ac:dyDescent="0.25">
      <c r="A35" s="265"/>
      <c r="B35" s="258"/>
      <c r="C35" s="280" t="s">
        <v>603</v>
      </c>
      <c r="D35" s="42" t="s">
        <v>11</v>
      </c>
      <c r="E35" s="96" t="s">
        <v>12</v>
      </c>
      <c r="F35" s="78">
        <f>8844*1.1+0.6</f>
        <v>9729.0000000000018</v>
      </c>
      <c r="G35" s="100">
        <f t="shared" si="0"/>
        <v>11674.800000000001</v>
      </c>
      <c r="H35" s="397"/>
    </row>
    <row r="36" spans="1:8" x14ac:dyDescent="0.25">
      <c r="A36" s="265"/>
      <c r="B36" s="258"/>
      <c r="C36" s="280"/>
      <c r="D36" s="42" t="s">
        <v>11</v>
      </c>
      <c r="E36" s="505" t="s">
        <v>13</v>
      </c>
      <c r="F36" s="78">
        <f>12883*1.2+0.4</f>
        <v>15459.999999999998</v>
      </c>
      <c r="G36" s="100">
        <f t="shared" si="0"/>
        <v>18551.999999999996</v>
      </c>
      <c r="H36" s="397"/>
    </row>
    <row r="37" spans="1:8" x14ac:dyDescent="0.25">
      <c r="A37" s="265"/>
      <c r="B37" s="258"/>
      <c r="C37" s="280" t="s">
        <v>458</v>
      </c>
      <c r="D37" s="42" t="s">
        <v>11</v>
      </c>
      <c r="E37" s="96" t="s">
        <v>12</v>
      </c>
      <c r="F37" s="78">
        <f>12419*1.1+0.1</f>
        <v>13661.000000000002</v>
      </c>
      <c r="G37" s="100">
        <f t="shared" si="0"/>
        <v>16393.2</v>
      </c>
      <c r="H37" s="397"/>
    </row>
    <row r="38" spans="1:8" x14ac:dyDescent="0.25">
      <c r="A38" s="265"/>
      <c r="B38" s="258"/>
      <c r="C38" s="280"/>
      <c r="D38" s="42" t="s">
        <v>11</v>
      </c>
      <c r="E38" s="505" t="s">
        <v>13</v>
      </c>
      <c r="F38" s="78">
        <f>20061*1</f>
        <v>20061</v>
      </c>
      <c r="G38" s="100">
        <f t="shared" si="0"/>
        <v>24073.200000000001</v>
      </c>
      <c r="H38" s="397"/>
    </row>
    <row r="39" spans="1:8" x14ac:dyDescent="0.25">
      <c r="A39" s="265"/>
      <c r="B39" s="258"/>
      <c r="C39" s="280" t="s">
        <v>527</v>
      </c>
      <c r="D39" s="42" t="s">
        <v>11</v>
      </c>
      <c r="E39" s="96" t="s">
        <v>12</v>
      </c>
      <c r="F39" s="78">
        <f>13744*1.1+0.6</f>
        <v>15119.000000000002</v>
      </c>
      <c r="G39" s="100">
        <f t="shared" si="0"/>
        <v>18142.800000000003</v>
      </c>
      <c r="H39" s="397"/>
    </row>
    <row r="40" spans="1:8" x14ac:dyDescent="0.25">
      <c r="A40" s="265"/>
      <c r="B40" s="258"/>
      <c r="C40" s="280"/>
      <c r="D40" s="42" t="s">
        <v>11</v>
      </c>
      <c r="E40" s="505" t="s">
        <v>13</v>
      </c>
      <c r="F40" s="78">
        <f>20072*1.15+0.2</f>
        <v>23083</v>
      </c>
      <c r="G40" s="100">
        <f t="shared" si="0"/>
        <v>27699.599999999999</v>
      </c>
      <c r="H40" s="397"/>
    </row>
    <row r="41" spans="1:8" x14ac:dyDescent="0.25">
      <c r="A41" s="265"/>
      <c r="B41" s="258"/>
      <c r="C41" s="280" t="s">
        <v>604</v>
      </c>
      <c r="D41" s="42" t="s">
        <v>11</v>
      </c>
      <c r="E41" s="96" t="s">
        <v>12</v>
      </c>
      <c r="F41" s="78">
        <f>14734*1.1+0.6</f>
        <v>16208.000000000002</v>
      </c>
      <c r="G41" s="100">
        <f t="shared" si="0"/>
        <v>19449.600000000002</v>
      </c>
      <c r="H41" s="397"/>
    </row>
    <row r="42" spans="1:8" x14ac:dyDescent="0.25">
      <c r="A42" s="265"/>
      <c r="B42" s="258"/>
      <c r="C42" s="280"/>
      <c r="D42" s="42" t="s">
        <v>11</v>
      </c>
      <c r="E42" s="505" t="s">
        <v>13</v>
      </c>
      <c r="F42" s="78">
        <f>21984*1.1+0.6</f>
        <v>24183</v>
      </c>
      <c r="G42" s="100">
        <f t="shared" si="0"/>
        <v>29019.599999999999</v>
      </c>
      <c r="H42" s="397"/>
    </row>
    <row r="43" spans="1:8" x14ac:dyDescent="0.25">
      <c r="A43" s="265"/>
      <c r="B43" s="258"/>
      <c r="C43" s="280" t="s">
        <v>529</v>
      </c>
      <c r="D43" s="42" t="s">
        <v>11</v>
      </c>
      <c r="E43" s="96" t="s">
        <v>12</v>
      </c>
      <c r="F43" s="78">
        <f>16411*1.1+0.9</f>
        <v>18053.000000000004</v>
      </c>
      <c r="G43" s="100">
        <f t="shared" si="0"/>
        <v>21663.600000000002</v>
      </c>
      <c r="H43" s="397"/>
    </row>
    <row r="44" spans="1:8" x14ac:dyDescent="0.25">
      <c r="A44" s="265"/>
      <c r="B44" s="258"/>
      <c r="C44" s="280"/>
      <c r="D44" s="42" t="s">
        <v>11</v>
      </c>
      <c r="E44" s="505" t="s">
        <v>13</v>
      </c>
      <c r="F44" s="78">
        <f>26695*1</f>
        <v>26695</v>
      </c>
      <c r="G44" s="100">
        <f t="shared" si="0"/>
        <v>32034</v>
      </c>
      <c r="H44" s="397"/>
    </row>
    <row r="45" spans="1:8" x14ac:dyDescent="0.25">
      <c r="A45" s="265"/>
      <c r="B45" s="258"/>
      <c r="C45" s="280" t="s">
        <v>605</v>
      </c>
      <c r="D45" s="42" t="s">
        <v>11</v>
      </c>
      <c r="E45" s="96" t="s">
        <v>12</v>
      </c>
      <c r="F45" s="78">
        <f>17712*1.1+0.8</f>
        <v>19484</v>
      </c>
      <c r="G45" s="100">
        <f t="shared" si="0"/>
        <v>23380.799999999999</v>
      </c>
      <c r="H45" s="397"/>
    </row>
    <row r="46" spans="1:8" x14ac:dyDescent="0.25">
      <c r="A46" s="265"/>
      <c r="B46" s="258"/>
      <c r="C46" s="280"/>
      <c r="D46" s="42" t="s">
        <v>11</v>
      </c>
      <c r="E46" s="505" t="s">
        <v>13</v>
      </c>
      <c r="F46" s="78">
        <f>26679*1.13-0.27</f>
        <v>30146.999999999996</v>
      </c>
      <c r="G46" s="100">
        <f t="shared" si="0"/>
        <v>36176.399999999994</v>
      </c>
      <c r="H46" s="397"/>
    </row>
    <row r="47" spans="1:8" x14ac:dyDescent="0.25">
      <c r="A47" s="265"/>
      <c r="B47" s="258"/>
      <c r="C47" s="280" t="s">
        <v>702</v>
      </c>
      <c r="D47" s="42" t="s">
        <v>11</v>
      </c>
      <c r="E47" s="96" t="s">
        <v>12</v>
      </c>
      <c r="F47" s="78">
        <f>18765*1.1+0.5</f>
        <v>20642</v>
      </c>
      <c r="G47" s="100">
        <f t="shared" si="0"/>
        <v>24770.399999999998</v>
      </c>
      <c r="H47" s="397"/>
    </row>
    <row r="48" spans="1:8" x14ac:dyDescent="0.25">
      <c r="A48" s="265"/>
      <c r="B48" s="258"/>
      <c r="C48" s="280"/>
      <c r="D48" s="42" t="s">
        <v>11</v>
      </c>
      <c r="E48" s="505" t="s">
        <v>13</v>
      </c>
      <c r="F48" s="78">
        <f>31103*1.1-0.3</f>
        <v>34213</v>
      </c>
      <c r="G48" s="100">
        <f t="shared" si="0"/>
        <v>41055.599999999999</v>
      </c>
      <c r="H48" s="397"/>
    </row>
    <row r="49" spans="1:8" x14ac:dyDescent="0.25">
      <c r="A49" s="265"/>
      <c r="B49" s="258"/>
      <c r="C49" s="280" t="s">
        <v>703</v>
      </c>
      <c r="D49" s="42" t="s">
        <v>11</v>
      </c>
      <c r="E49" s="96" t="s">
        <v>12</v>
      </c>
      <c r="F49" s="78">
        <f>21304*1.1+0.6</f>
        <v>23435</v>
      </c>
      <c r="G49" s="100">
        <f t="shared" si="0"/>
        <v>28122</v>
      </c>
      <c r="H49" s="397"/>
    </row>
    <row r="50" spans="1:8" x14ac:dyDescent="0.25">
      <c r="A50" s="265"/>
      <c r="B50" s="258"/>
      <c r="C50" s="280"/>
      <c r="D50" s="42" t="s">
        <v>11</v>
      </c>
      <c r="E50" s="505" t="s">
        <v>13</v>
      </c>
      <c r="F50" s="78">
        <f>32413*1.1+0.7</f>
        <v>35655</v>
      </c>
      <c r="G50" s="100">
        <f t="shared" si="0"/>
        <v>42786</v>
      </c>
      <c r="H50" s="397"/>
    </row>
    <row r="51" spans="1:8" x14ac:dyDescent="0.25">
      <c r="A51" s="265"/>
      <c r="B51" s="258"/>
      <c r="C51" s="280" t="s">
        <v>704</v>
      </c>
      <c r="D51" s="42" t="s">
        <v>11</v>
      </c>
      <c r="E51" s="96" t="s">
        <v>12</v>
      </c>
      <c r="F51" s="78">
        <f>21677*1.2+0.6</f>
        <v>26012.999999999996</v>
      </c>
      <c r="G51" s="100">
        <f t="shared" si="0"/>
        <v>31215.599999999995</v>
      </c>
      <c r="H51" s="397"/>
    </row>
    <row r="52" spans="1:8" x14ac:dyDescent="0.25">
      <c r="A52" s="265"/>
      <c r="B52" s="258"/>
      <c r="C52" s="280"/>
      <c r="D52" s="42" t="s">
        <v>11</v>
      </c>
      <c r="E52" s="505" t="s">
        <v>13</v>
      </c>
      <c r="F52" s="78">
        <f>35941*1.1-0.1</f>
        <v>39535.000000000007</v>
      </c>
      <c r="G52" s="100">
        <f t="shared" si="0"/>
        <v>47442.000000000007</v>
      </c>
      <c r="H52" s="397"/>
    </row>
    <row r="53" spans="1:8" x14ac:dyDescent="0.25">
      <c r="A53" s="265"/>
      <c r="B53" s="258"/>
      <c r="C53" s="280" t="s">
        <v>606</v>
      </c>
      <c r="D53" s="42" t="s">
        <v>11</v>
      </c>
      <c r="E53" s="96" t="s">
        <v>12</v>
      </c>
      <c r="F53" s="78">
        <f>28030*1.1</f>
        <v>30833.000000000004</v>
      </c>
      <c r="G53" s="100">
        <f t="shared" si="0"/>
        <v>36999.600000000006</v>
      </c>
      <c r="H53" s="397"/>
    </row>
    <row r="54" spans="1:8" x14ac:dyDescent="0.25">
      <c r="A54" s="265"/>
      <c r="B54" s="258"/>
      <c r="C54" s="280"/>
      <c r="D54" s="42" t="s">
        <v>11</v>
      </c>
      <c r="E54" s="505" t="s">
        <v>13</v>
      </c>
      <c r="F54" s="78">
        <f>39628*1.1+0.2</f>
        <v>43591</v>
      </c>
      <c r="G54" s="100">
        <f t="shared" si="0"/>
        <v>52309.2</v>
      </c>
      <c r="H54" s="397"/>
    </row>
    <row r="55" spans="1:8" x14ac:dyDescent="0.25">
      <c r="A55" s="265"/>
      <c r="B55" s="258"/>
      <c r="C55" s="280" t="s">
        <v>705</v>
      </c>
      <c r="D55" s="42" t="s">
        <v>11</v>
      </c>
      <c r="E55" s="96" t="s">
        <v>12</v>
      </c>
      <c r="F55" s="78">
        <f>33321*1.1+0.9</f>
        <v>36654.000000000007</v>
      </c>
      <c r="G55" s="100">
        <f t="shared" si="0"/>
        <v>43984.80000000001</v>
      </c>
      <c r="H55" s="397"/>
    </row>
    <row r="56" spans="1:8" x14ac:dyDescent="0.25">
      <c r="A56" s="265"/>
      <c r="B56" s="258"/>
      <c r="C56" s="280"/>
      <c r="D56" s="42" t="s">
        <v>11</v>
      </c>
      <c r="E56" s="505" t="s">
        <v>13</v>
      </c>
      <c r="F56" s="78">
        <f>44999*1.1+0.1</f>
        <v>49499</v>
      </c>
      <c r="G56" s="100">
        <f t="shared" si="0"/>
        <v>59398.799999999996</v>
      </c>
      <c r="H56" s="397"/>
    </row>
    <row r="57" spans="1:8" x14ac:dyDescent="0.25">
      <c r="A57" s="265"/>
      <c r="B57" s="258"/>
      <c r="C57" s="280" t="s">
        <v>707</v>
      </c>
      <c r="D57" s="42" t="s">
        <v>11</v>
      </c>
      <c r="E57" s="96" t="s">
        <v>12</v>
      </c>
      <c r="F57" s="78">
        <f>49216*1.1+0.4</f>
        <v>54138.000000000007</v>
      </c>
      <c r="G57" s="100">
        <f t="shared" si="0"/>
        <v>64965.600000000006</v>
      </c>
      <c r="H57" s="397"/>
    </row>
    <row r="58" spans="1:8" x14ac:dyDescent="0.25">
      <c r="A58" s="265"/>
      <c r="B58" s="258"/>
      <c r="C58" s="280"/>
      <c r="D58" s="42" t="s">
        <v>11</v>
      </c>
      <c r="E58" s="505" t="s">
        <v>13</v>
      </c>
      <c r="F58" s="78">
        <f>62069*1.1+0.1</f>
        <v>68276.000000000015</v>
      </c>
      <c r="G58" s="100">
        <f t="shared" si="0"/>
        <v>81931.200000000012</v>
      </c>
      <c r="H58" s="397"/>
    </row>
    <row r="59" spans="1:8" x14ac:dyDescent="0.25">
      <c r="A59" s="265"/>
      <c r="B59" s="258"/>
      <c r="C59" s="79" t="s">
        <v>708</v>
      </c>
      <c r="D59" s="550" t="s">
        <v>607</v>
      </c>
      <c r="E59" s="471"/>
      <c r="F59" s="78">
        <f>2437*1.1+0.3</f>
        <v>2681.0000000000005</v>
      </c>
      <c r="G59" s="78">
        <f t="shared" si="0"/>
        <v>3217.2000000000003</v>
      </c>
      <c r="H59" s="397"/>
    </row>
    <row r="60" spans="1:8" x14ac:dyDescent="0.25">
      <c r="A60" s="265"/>
      <c r="B60" s="258"/>
      <c r="C60" s="79" t="s">
        <v>600</v>
      </c>
      <c r="D60" s="551"/>
      <c r="E60" s="473"/>
      <c r="F60" s="78">
        <f>4939*1.1+0.1</f>
        <v>5433.0000000000009</v>
      </c>
      <c r="G60" s="78">
        <f t="shared" si="0"/>
        <v>6519.6000000000013</v>
      </c>
      <c r="H60" s="397"/>
    </row>
    <row r="61" spans="1:8" x14ac:dyDescent="0.25">
      <c r="A61" s="265"/>
      <c r="B61" s="258"/>
      <c r="C61" s="79" t="s">
        <v>455</v>
      </c>
      <c r="D61" s="551"/>
      <c r="E61" s="473"/>
      <c r="F61" s="78">
        <f>6859*1.1+0.1</f>
        <v>7545.0000000000009</v>
      </c>
      <c r="G61" s="78">
        <f t="shared" si="0"/>
        <v>9054</v>
      </c>
      <c r="H61" s="397"/>
    </row>
    <row r="62" spans="1:8" x14ac:dyDescent="0.25">
      <c r="A62" s="265"/>
      <c r="B62" s="258"/>
      <c r="C62" s="79" t="s">
        <v>456</v>
      </c>
      <c r="D62" s="551"/>
      <c r="E62" s="473"/>
      <c r="F62" s="78">
        <f>7619*1.1+0.1</f>
        <v>8381.0000000000018</v>
      </c>
      <c r="G62" s="78">
        <f t="shared" si="0"/>
        <v>10057.200000000003</v>
      </c>
      <c r="H62" s="397"/>
    </row>
    <row r="63" spans="1:8" x14ac:dyDescent="0.25">
      <c r="A63" s="265"/>
      <c r="B63" s="258"/>
      <c r="C63" s="79" t="s">
        <v>374</v>
      </c>
      <c r="D63" s="551"/>
      <c r="E63" s="473"/>
      <c r="F63" s="78">
        <f>9002*1.1+0.8</f>
        <v>9903</v>
      </c>
      <c r="G63" s="78">
        <f t="shared" si="0"/>
        <v>11883.6</v>
      </c>
      <c r="H63" s="397"/>
    </row>
    <row r="64" spans="1:8" x14ac:dyDescent="0.25">
      <c r="A64" s="265"/>
      <c r="B64" s="258"/>
      <c r="C64" s="79" t="s">
        <v>603</v>
      </c>
      <c r="D64" s="551"/>
      <c r="E64" s="473"/>
      <c r="F64" s="78">
        <f>11172*1.1+0.8</f>
        <v>12290</v>
      </c>
      <c r="G64" s="78">
        <f t="shared" si="0"/>
        <v>14748</v>
      </c>
      <c r="H64" s="397"/>
    </row>
    <row r="65" spans="1:8" x14ac:dyDescent="0.25">
      <c r="A65" s="265"/>
      <c r="B65" s="258"/>
      <c r="C65" s="79" t="s">
        <v>458</v>
      </c>
      <c r="D65" s="551"/>
      <c r="E65" s="473"/>
      <c r="F65" s="78">
        <f>12273*1.1+0.7</f>
        <v>13501.000000000002</v>
      </c>
      <c r="G65" s="78">
        <f t="shared" si="0"/>
        <v>16201.2</v>
      </c>
      <c r="H65" s="397"/>
    </row>
    <row r="66" spans="1:8" x14ac:dyDescent="0.25">
      <c r="A66" s="265"/>
      <c r="B66" s="258"/>
      <c r="C66" s="79" t="s">
        <v>527</v>
      </c>
      <c r="D66" s="551"/>
      <c r="E66" s="473"/>
      <c r="F66" s="78">
        <f>13628*1.1+0.2</f>
        <v>14991.000000000002</v>
      </c>
      <c r="G66" s="78">
        <f t="shared" si="0"/>
        <v>17989.2</v>
      </c>
      <c r="H66" s="397"/>
    </row>
    <row r="67" spans="1:8" x14ac:dyDescent="0.25">
      <c r="A67" s="265"/>
      <c r="B67" s="258"/>
      <c r="C67" s="79" t="s">
        <v>604</v>
      </c>
      <c r="D67" s="551"/>
      <c r="E67" s="473"/>
      <c r="F67" s="78">
        <f>14370*1.1</f>
        <v>15807.000000000002</v>
      </c>
      <c r="G67" s="78">
        <f t="shared" si="0"/>
        <v>18968.400000000001</v>
      </c>
      <c r="H67" s="397"/>
    </row>
    <row r="68" spans="1:8" x14ac:dyDescent="0.25">
      <c r="A68" s="265"/>
      <c r="B68" s="258"/>
      <c r="C68" s="79" t="s">
        <v>529</v>
      </c>
      <c r="D68" s="551"/>
      <c r="E68" s="473"/>
      <c r="F68" s="78">
        <f>14570*1.1</f>
        <v>16027.000000000002</v>
      </c>
      <c r="G68" s="78">
        <f t="shared" si="0"/>
        <v>19232.400000000001</v>
      </c>
      <c r="H68" s="397"/>
    </row>
    <row r="69" spans="1:8" x14ac:dyDescent="0.25">
      <c r="A69" s="265"/>
      <c r="B69" s="258"/>
      <c r="C69" s="79" t="s">
        <v>605</v>
      </c>
      <c r="D69" s="551"/>
      <c r="E69" s="473"/>
      <c r="F69" s="78">
        <f>14772*1.1+0.8</f>
        <v>16250</v>
      </c>
      <c r="G69" s="78">
        <f t="shared" si="0"/>
        <v>19500</v>
      </c>
      <c r="H69" s="397"/>
    </row>
    <row r="70" spans="1:8" x14ac:dyDescent="0.25">
      <c r="A70" s="265"/>
      <c r="B70" s="258"/>
      <c r="C70" s="79" t="s">
        <v>702</v>
      </c>
      <c r="D70" s="551"/>
      <c r="E70" s="473"/>
      <c r="F70" s="78">
        <f>14825*1.1+0.5</f>
        <v>16308.000000000002</v>
      </c>
      <c r="G70" s="78">
        <f t="shared" si="0"/>
        <v>19569.600000000002</v>
      </c>
      <c r="H70" s="397"/>
    </row>
    <row r="71" spans="1:8" x14ac:dyDescent="0.25">
      <c r="A71" s="265"/>
      <c r="B71" s="258"/>
      <c r="C71" s="79" t="s">
        <v>703</v>
      </c>
      <c r="D71" s="551"/>
      <c r="E71" s="473"/>
      <c r="F71" s="78">
        <f>16328*1.1+0.2</f>
        <v>17961.000000000004</v>
      </c>
      <c r="G71" s="78">
        <f t="shared" si="0"/>
        <v>21553.200000000004</v>
      </c>
      <c r="H71" s="397"/>
    </row>
    <row r="72" spans="1:8" x14ac:dyDescent="0.25">
      <c r="A72" s="265"/>
      <c r="B72" s="258"/>
      <c r="C72" s="79" t="s">
        <v>704</v>
      </c>
      <c r="D72" s="551"/>
      <c r="E72" s="473"/>
      <c r="F72" s="78">
        <f>19319*1.1+0.1</f>
        <v>21251</v>
      </c>
      <c r="G72" s="78">
        <f t="shared" si="0"/>
        <v>25501.200000000001</v>
      </c>
      <c r="H72" s="397"/>
    </row>
    <row r="73" spans="1:8" x14ac:dyDescent="0.25">
      <c r="A73" s="265"/>
      <c r="B73" s="258"/>
      <c r="C73" s="79" t="s">
        <v>606</v>
      </c>
      <c r="D73" s="551"/>
      <c r="E73" s="473"/>
      <c r="F73" s="78">
        <f>23462*1.1+0.8</f>
        <v>25809</v>
      </c>
      <c r="G73" s="78">
        <f t="shared" si="0"/>
        <v>30970.799999999999</v>
      </c>
      <c r="H73" s="397"/>
    </row>
    <row r="74" spans="1:8" x14ac:dyDescent="0.25">
      <c r="A74" s="265"/>
      <c r="B74" s="258"/>
      <c r="C74" s="79" t="s">
        <v>705</v>
      </c>
      <c r="D74" s="551"/>
      <c r="E74" s="473"/>
      <c r="F74" s="78">
        <f>27346*1.1+0.4</f>
        <v>30081.000000000004</v>
      </c>
      <c r="G74" s="78">
        <f t="shared" si="0"/>
        <v>36097.200000000004</v>
      </c>
      <c r="H74" s="397"/>
    </row>
    <row r="75" spans="1:8" x14ac:dyDescent="0.25">
      <c r="A75" s="265"/>
      <c r="B75" s="258"/>
      <c r="C75" s="79" t="s">
        <v>706</v>
      </c>
      <c r="D75" s="552"/>
      <c r="E75" s="474"/>
      <c r="F75" s="78">
        <f>46929*1.1+0.1</f>
        <v>51622</v>
      </c>
      <c r="G75" s="78">
        <f t="shared" si="0"/>
        <v>61946.399999999994</v>
      </c>
      <c r="H75" s="394"/>
    </row>
    <row r="76" spans="1:8" x14ac:dyDescent="0.25">
      <c r="A76" s="532" t="s">
        <v>28</v>
      </c>
      <c r="B76" s="307" t="s">
        <v>33</v>
      </c>
      <c r="C76" s="264" t="s">
        <v>131</v>
      </c>
      <c r="D76" s="264"/>
      <c r="E76" s="264"/>
      <c r="F76" s="264"/>
      <c r="G76" s="264"/>
      <c r="H76" s="264"/>
    </row>
    <row r="77" spans="1:8" x14ac:dyDescent="0.25">
      <c r="A77" s="533"/>
      <c r="B77" s="308"/>
      <c r="C77" s="265" t="s">
        <v>34</v>
      </c>
      <c r="D77" s="265" t="s">
        <v>11</v>
      </c>
      <c r="E77" s="42" t="s">
        <v>12</v>
      </c>
      <c r="F77" s="267" t="s">
        <v>14</v>
      </c>
      <c r="G77" s="267"/>
      <c r="H77" s="265" t="s">
        <v>598</v>
      </c>
    </row>
    <row r="78" spans="1:8" ht="31.5" x14ac:dyDescent="0.25">
      <c r="A78" s="533"/>
      <c r="B78" s="308"/>
      <c r="C78" s="265"/>
      <c r="D78" s="265"/>
      <c r="E78" s="38" t="s">
        <v>206</v>
      </c>
      <c r="F78" s="265" t="s">
        <v>14</v>
      </c>
      <c r="G78" s="265"/>
      <c r="H78" s="260"/>
    </row>
    <row r="79" spans="1:8" x14ac:dyDescent="0.25">
      <c r="A79" s="534"/>
      <c r="B79" s="309"/>
      <c r="C79" s="265"/>
      <c r="D79" s="38" t="s">
        <v>2</v>
      </c>
      <c r="E79" s="38" t="s">
        <v>2</v>
      </c>
      <c r="F79" s="265" t="s">
        <v>14</v>
      </c>
      <c r="G79" s="265"/>
      <c r="H79" s="260"/>
    </row>
    <row r="80" spans="1:8" x14ac:dyDescent="0.25">
      <c r="A80" s="265" t="s">
        <v>32</v>
      </c>
      <c r="B80" s="258" t="s">
        <v>554</v>
      </c>
      <c r="C80" s="258" t="s">
        <v>608</v>
      </c>
      <c r="D80" s="258"/>
      <c r="E80" s="258"/>
      <c r="F80" s="258"/>
      <c r="G80" s="258"/>
      <c r="H80" s="258"/>
    </row>
    <row r="81" spans="1:8" x14ac:dyDescent="0.25">
      <c r="A81" s="265"/>
      <c r="B81" s="258"/>
      <c r="C81" s="265" t="s">
        <v>417</v>
      </c>
      <c r="D81" s="265" t="s">
        <v>11</v>
      </c>
      <c r="E81" s="42" t="s">
        <v>12</v>
      </c>
      <c r="F81" s="78">
        <v>4388</v>
      </c>
      <c r="G81" s="100">
        <f>F81*1.2</f>
        <v>5265.5999999999995</v>
      </c>
      <c r="H81" s="39" t="s">
        <v>30</v>
      </c>
    </row>
    <row r="82" spans="1:8" x14ac:dyDescent="0.25">
      <c r="A82" s="265"/>
      <c r="B82" s="258"/>
      <c r="C82" s="265"/>
      <c r="D82" s="265"/>
      <c r="E82" s="42" t="s">
        <v>12</v>
      </c>
      <c r="F82" s="78">
        <v>6230</v>
      </c>
      <c r="G82" s="100">
        <f>F82*1.2</f>
        <v>7476</v>
      </c>
      <c r="H82" s="39" t="s">
        <v>246</v>
      </c>
    </row>
    <row r="83" spans="1:8" ht="31.5" x14ac:dyDescent="0.25">
      <c r="A83" s="265"/>
      <c r="B83" s="258"/>
      <c r="C83" s="265"/>
      <c r="D83" s="265"/>
      <c r="E83" s="42" t="s">
        <v>206</v>
      </c>
      <c r="F83" s="78">
        <v>7592</v>
      </c>
      <c r="G83" s="100">
        <f t="shared" ref="G83:G88" si="1">F83*1.2</f>
        <v>9110.4</v>
      </c>
      <c r="H83" s="39"/>
    </row>
    <row r="84" spans="1:8" x14ac:dyDescent="0.25">
      <c r="A84" s="265"/>
      <c r="B84" s="258"/>
      <c r="C84" s="265" t="s">
        <v>418</v>
      </c>
      <c r="D84" s="265" t="s">
        <v>11</v>
      </c>
      <c r="E84" s="38" t="s">
        <v>12</v>
      </c>
      <c r="F84" s="78">
        <v>2444</v>
      </c>
      <c r="G84" s="78">
        <f>F84*1.2</f>
        <v>2932.7999999999997</v>
      </c>
      <c r="H84" s="39" t="s">
        <v>30</v>
      </c>
    </row>
    <row r="85" spans="1:8" x14ac:dyDescent="0.25">
      <c r="A85" s="265"/>
      <c r="B85" s="258"/>
      <c r="C85" s="265"/>
      <c r="D85" s="265"/>
      <c r="E85" s="38" t="s">
        <v>12</v>
      </c>
      <c r="F85" s="78">
        <v>4286</v>
      </c>
      <c r="G85" s="78">
        <f>F85*1.2</f>
        <v>5143.2</v>
      </c>
      <c r="H85" s="39" t="s">
        <v>246</v>
      </c>
    </row>
    <row r="86" spans="1:8" ht="31.5" x14ac:dyDescent="0.25">
      <c r="A86" s="265"/>
      <c r="B86" s="258"/>
      <c r="C86" s="265"/>
      <c r="D86" s="265"/>
      <c r="E86" s="38" t="s">
        <v>206</v>
      </c>
      <c r="F86" s="78">
        <v>4286</v>
      </c>
      <c r="G86" s="78">
        <f>F86*1.2</f>
        <v>5143.2</v>
      </c>
      <c r="H86" s="110"/>
    </row>
    <row r="87" spans="1:8" x14ac:dyDescent="0.25">
      <c r="A87" s="265"/>
      <c r="B87" s="258"/>
      <c r="C87" s="265" t="s">
        <v>418</v>
      </c>
      <c r="D87" s="265" t="s">
        <v>11</v>
      </c>
      <c r="E87" s="38" t="s">
        <v>12</v>
      </c>
      <c r="F87" s="78">
        <v>1944</v>
      </c>
      <c r="G87" s="78">
        <f>F87*1.2</f>
        <v>2332.7999999999997</v>
      </c>
      <c r="H87" s="39" t="s">
        <v>609</v>
      </c>
    </row>
    <row r="88" spans="1:8" ht="31.5" x14ac:dyDescent="0.25">
      <c r="A88" s="265"/>
      <c r="B88" s="258"/>
      <c r="C88" s="265"/>
      <c r="D88" s="260"/>
      <c r="E88" s="38" t="s">
        <v>206</v>
      </c>
      <c r="F88" s="78">
        <v>3306</v>
      </c>
      <c r="G88" s="78">
        <f t="shared" si="1"/>
        <v>3967.2</v>
      </c>
      <c r="H88" s="39" t="s">
        <v>609</v>
      </c>
    </row>
    <row r="89" spans="1:8" x14ac:dyDescent="0.25">
      <c r="A89" s="258" t="s">
        <v>35</v>
      </c>
      <c r="B89" s="258"/>
      <c r="C89" s="258"/>
      <c r="D89" s="258"/>
      <c r="E89" s="258"/>
      <c r="F89" s="258"/>
      <c r="G89" s="258"/>
      <c r="H89" s="258"/>
    </row>
    <row r="90" spans="1:8" x14ac:dyDescent="0.25">
      <c r="A90" s="258" t="s">
        <v>36</v>
      </c>
      <c r="B90" s="258"/>
      <c r="C90" s="258" t="s">
        <v>37</v>
      </c>
      <c r="D90" s="258"/>
      <c r="E90" s="258"/>
      <c r="F90" s="258"/>
      <c r="G90" s="258"/>
      <c r="H90" s="258"/>
    </row>
    <row r="91" spans="1:8" x14ac:dyDescent="0.25">
      <c r="A91" s="265" t="s">
        <v>60</v>
      </c>
      <c r="B91" s="258" t="s">
        <v>140</v>
      </c>
      <c r="C91" s="265" t="s">
        <v>38</v>
      </c>
      <c r="D91" s="265" t="s">
        <v>11</v>
      </c>
      <c r="E91" s="156" t="s">
        <v>12</v>
      </c>
      <c r="F91" s="265" t="s">
        <v>14</v>
      </c>
      <c r="G91" s="265"/>
      <c r="H91" s="40"/>
    </row>
    <row r="92" spans="1:8" ht="31.5" x14ac:dyDescent="0.25">
      <c r="A92" s="265"/>
      <c r="B92" s="258"/>
      <c r="C92" s="265"/>
      <c r="D92" s="265"/>
      <c r="E92" s="38" t="s">
        <v>206</v>
      </c>
      <c r="F92" s="265" t="s">
        <v>14</v>
      </c>
      <c r="G92" s="265"/>
      <c r="H92" s="40"/>
    </row>
    <row r="93" spans="1:8" x14ac:dyDescent="0.25">
      <c r="A93" s="265"/>
      <c r="B93" s="258"/>
      <c r="C93" s="265"/>
      <c r="D93" s="38" t="s">
        <v>2</v>
      </c>
      <c r="E93" s="38"/>
      <c r="F93" s="265" t="s">
        <v>14</v>
      </c>
      <c r="G93" s="265"/>
      <c r="H93" s="40"/>
    </row>
    <row r="94" spans="1:8" ht="94.5" x14ac:dyDescent="0.25">
      <c r="A94" s="265" t="s">
        <v>39</v>
      </c>
      <c r="B94" s="258" t="s">
        <v>42</v>
      </c>
      <c r="C94" s="265" t="s">
        <v>43</v>
      </c>
      <c r="D94" s="265" t="s">
        <v>40</v>
      </c>
      <c r="E94" s="257" t="s">
        <v>12</v>
      </c>
      <c r="F94" s="78">
        <v>315</v>
      </c>
      <c r="G94" s="78">
        <f t="shared" ref="G94:G101" si="2">F94*1.2</f>
        <v>378</v>
      </c>
      <c r="H94" s="79" t="s">
        <v>99</v>
      </c>
    </row>
    <row r="95" spans="1:8" ht="94.5" x14ac:dyDescent="0.25">
      <c r="A95" s="265"/>
      <c r="B95" s="258"/>
      <c r="C95" s="265"/>
      <c r="D95" s="265"/>
      <c r="E95" s="257"/>
      <c r="F95" s="78">
        <v>630</v>
      </c>
      <c r="G95" s="78">
        <f t="shared" si="2"/>
        <v>756</v>
      </c>
      <c r="H95" s="79" t="s">
        <v>100</v>
      </c>
    </row>
    <row r="96" spans="1:8" ht="94.5" x14ac:dyDescent="0.25">
      <c r="A96" s="265"/>
      <c r="B96" s="258"/>
      <c r="C96" s="265"/>
      <c r="D96" s="265"/>
      <c r="E96" s="257"/>
      <c r="F96" s="78">
        <v>1050</v>
      </c>
      <c r="G96" s="78">
        <f t="shared" si="2"/>
        <v>1260</v>
      </c>
      <c r="H96" s="79" t="s">
        <v>101</v>
      </c>
    </row>
    <row r="97" spans="1:8" ht="94.5" x14ac:dyDescent="0.25">
      <c r="A97" s="265"/>
      <c r="B97" s="258"/>
      <c r="C97" s="265"/>
      <c r="D97" s="265" t="s">
        <v>40</v>
      </c>
      <c r="E97" s="257" t="s">
        <v>13</v>
      </c>
      <c r="F97" s="78">
        <v>525</v>
      </c>
      <c r="G97" s="78">
        <f t="shared" si="2"/>
        <v>630</v>
      </c>
      <c r="H97" s="79" t="s">
        <v>99</v>
      </c>
    </row>
    <row r="98" spans="1:8" ht="94.5" x14ac:dyDescent="0.25">
      <c r="A98" s="265"/>
      <c r="B98" s="258"/>
      <c r="C98" s="265"/>
      <c r="D98" s="265"/>
      <c r="E98" s="257"/>
      <c r="F98" s="78">
        <v>787</v>
      </c>
      <c r="G98" s="78">
        <f t="shared" si="2"/>
        <v>944.4</v>
      </c>
      <c r="H98" s="79" t="s">
        <v>100</v>
      </c>
    </row>
    <row r="99" spans="1:8" ht="94.5" x14ac:dyDescent="0.25">
      <c r="A99" s="265"/>
      <c r="B99" s="258"/>
      <c r="C99" s="265"/>
      <c r="D99" s="265"/>
      <c r="E99" s="257"/>
      <c r="F99" s="78">
        <v>1050</v>
      </c>
      <c r="G99" s="78">
        <f t="shared" si="2"/>
        <v>1260</v>
      </c>
      <c r="H99" s="79" t="s">
        <v>101</v>
      </c>
    </row>
    <row r="100" spans="1:8" ht="94.5" x14ac:dyDescent="0.25">
      <c r="A100" s="265"/>
      <c r="B100" s="258"/>
      <c r="C100" s="265"/>
      <c r="D100" s="265" t="s">
        <v>41</v>
      </c>
      <c r="E100" s="156" t="s">
        <v>2</v>
      </c>
      <c r="F100" s="78">
        <v>3000</v>
      </c>
      <c r="G100" s="78">
        <f t="shared" si="2"/>
        <v>3600</v>
      </c>
      <c r="H100" s="39" t="s">
        <v>80</v>
      </c>
    </row>
    <row r="101" spans="1:8" ht="94.5" x14ac:dyDescent="0.25">
      <c r="A101" s="265"/>
      <c r="B101" s="258"/>
      <c r="C101" s="265"/>
      <c r="D101" s="265"/>
      <c r="E101" s="156" t="s">
        <v>2</v>
      </c>
      <c r="F101" s="78">
        <v>4500</v>
      </c>
      <c r="G101" s="78">
        <f t="shared" si="2"/>
        <v>5400</v>
      </c>
      <c r="H101" s="39" t="s">
        <v>421</v>
      </c>
    </row>
    <row r="102" spans="1:8" ht="63" x14ac:dyDescent="0.25">
      <c r="A102" s="265"/>
      <c r="B102" s="258"/>
      <c r="C102" s="265"/>
      <c r="D102" s="38" t="s">
        <v>40</v>
      </c>
      <c r="E102" s="156" t="s">
        <v>11</v>
      </c>
      <c r="F102" s="499" t="s">
        <v>14</v>
      </c>
      <c r="G102" s="500"/>
      <c r="H102" s="39" t="s">
        <v>90</v>
      </c>
    </row>
    <row r="103" spans="1:8" x14ac:dyDescent="0.25">
      <c r="A103" s="265"/>
      <c r="B103" s="258"/>
      <c r="C103" s="265"/>
      <c r="D103" s="38" t="s">
        <v>91</v>
      </c>
      <c r="E103" s="156" t="s">
        <v>2</v>
      </c>
      <c r="F103" s="499" t="s">
        <v>14</v>
      </c>
      <c r="G103" s="500"/>
      <c r="H103" s="39"/>
    </row>
    <row r="104" spans="1:8" x14ac:dyDescent="0.25">
      <c r="A104" s="265" t="s">
        <v>555</v>
      </c>
      <c r="B104" s="258" t="s">
        <v>506</v>
      </c>
      <c r="C104" s="265" t="s">
        <v>470</v>
      </c>
      <c r="D104" s="265" t="s">
        <v>11</v>
      </c>
      <c r="E104" s="156" t="s">
        <v>12</v>
      </c>
      <c r="F104" s="265" t="s">
        <v>14</v>
      </c>
      <c r="G104" s="265"/>
      <c r="H104" s="40"/>
    </row>
    <row r="105" spans="1:8" ht="31.5" x14ac:dyDescent="0.25">
      <c r="A105" s="265"/>
      <c r="B105" s="258"/>
      <c r="C105" s="265"/>
      <c r="D105" s="265"/>
      <c r="E105" s="38" t="s">
        <v>206</v>
      </c>
      <c r="F105" s="265" t="s">
        <v>14</v>
      </c>
      <c r="G105" s="265"/>
      <c r="H105" s="40"/>
    </row>
    <row r="106" spans="1:8" x14ac:dyDescent="0.25">
      <c r="A106" s="265"/>
      <c r="B106" s="258"/>
      <c r="C106" s="265"/>
      <c r="D106" s="38" t="s">
        <v>2</v>
      </c>
      <c r="E106" s="156"/>
      <c r="F106" s="265" t="s">
        <v>14</v>
      </c>
      <c r="G106" s="265"/>
      <c r="H106" s="40"/>
    </row>
    <row r="107" spans="1:8" x14ac:dyDescent="0.25">
      <c r="A107" s="258" t="s">
        <v>81</v>
      </c>
      <c r="B107" s="258"/>
      <c r="C107" s="258" t="s">
        <v>82</v>
      </c>
      <c r="D107" s="258"/>
      <c r="E107" s="258"/>
      <c r="F107" s="258"/>
      <c r="G107" s="258"/>
      <c r="H107" s="258"/>
    </row>
    <row r="108" spans="1:8" ht="15.75" customHeight="1" x14ac:dyDescent="0.25">
      <c r="A108" s="432">
        <v>10</v>
      </c>
      <c r="B108" s="465" t="s">
        <v>83</v>
      </c>
      <c r="C108" s="369" t="s">
        <v>84</v>
      </c>
      <c r="D108" s="370"/>
      <c r="E108" s="370"/>
      <c r="F108" s="370"/>
      <c r="G108" s="370"/>
      <c r="H108" s="371"/>
    </row>
    <row r="109" spans="1:8" ht="31.5" x14ac:dyDescent="0.25">
      <c r="A109" s="433"/>
      <c r="B109" s="467"/>
      <c r="C109" s="39" t="s">
        <v>266</v>
      </c>
      <c r="D109" s="76" t="s">
        <v>85</v>
      </c>
      <c r="E109" s="39" t="s">
        <v>262</v>
      </c>
      <c r="F109" s="78">
        <f>315*1.07+0.95</f>
        <v>338</v>
      </c>
      <c r="G109" s="78">
        <f t="shared" ref="G109:G117" si="3">F109*1.2</f>
        <v>405.59999999999997</v>
      </c>
      <c r="H109" s="269" t="s">
        <v>610</v>
      </c>
    </row>
    <row r="110" spans="1:8" ht="31.5" x14ac:dyDescent="0.25">
      <c r="A110" s="433"/>
      <c r="B110" s="467"/>
      <c r="C110" s="39" t="s">
        <v>700</v>
      </c>
      <c r="D110" s="76" t="s">
        <v>85</v>
      </c>
      <c r="E110" s="39" t="s">
        <v>262</v>
      </c>
      <c r="F110" s="78">
        <f>238*1.07+0.34</f>
        <v>255.00000000000003</v>
      </c>
      <c r="G110" s="78">
        <f t="shared" si="3"/>
        <v>306</v>
      </c>
      <c r="H110" s="260"/>
    </row>
    <row r="111" spans="1:8" ht="47.25" x14ac:dyDescent="0.25">
      <c r="A111" s="433"/>
      <c r="B111" s="467"/>
      <c r="C111" s="39" t="s">
        <v>556</v>
      </c>
      <c r="D111" s="257" t="s">
        <v>85</v>
      </c>
      <c r="E111" s="266" t="s">
        <v>12</v>
      </c>
      <c r="F111" s="81">
        <f>1142*1.07+0.06</f>
        <v>1222</v>
      </c>
      <c r="G111" s="78">
        <f t="shared" si="3"/>
        <v>1466.3999999999999</v>
      </c>
      <c r="H111" s="260"/>
    </row>
    <row r="112" spans="1:8" ht="47.25" x14ac:dyDescent="0.25">
      <c r="A112" s="433"/>
      <c r="B112" s="467"/>
      <c r="C112" s="39" t="s">
        <v>473</v>
      </c>
      <c r="D112" s="257"/>
      <c r="E112" s="266"/>
      <c r="F112" s="81">
        <f>2002*1.07+0.86</f>
        <v>2143.0000000000005</v>
      </c>
      <c r="G112" s="78">
        <f t="shared" si="3"/>
        <v>2571.6000000000004</v>
      </c>
      <c r="H112" s="260"/>
    </row>
    <row r="113" spans="1:8" ht="31.5" x14ac:dyDescent="0.25">
      <c r="A113" s="433"/>
      <c r="B113" s="467"/>
      <c r="C113" s="39" t="s">
        <v>700</v>
      </c>
      <c r="D113" s="76" t="s">
        <v>85</v>
      </c>
      <c r="E113" s="156" t="s">
        <v>354</v>
      </c>
      <c r="F113" s="81">
        <f>908*1.07+0.44</f>
        <v>972.00000000000011</v>
      </c>
      <c r="G113" s="78">
        <f t="shared" si="3"/>
        <v>1166.4000000000001</v>
      </c>
      <c r="H113" s="260"/>
    </row>
    <row r="114" spans="1:8" ht="31.5" x14ac:dyDescent="0.25">
      <c r="A114" s="433"/>
      <c r="B114" s="467"/>
      <c r="C114" s="39" t="s">
        <v>266</v>
      </c>
      <c r="D114" s="257" t="s">
        <v>85</v>
      </c>
      <c r="E114" s="259" t="s">
        <v>206</v>
      </c>
      <c r="F114" s="81">
        <f>2002*1.07+0.86</f>
        <v>2143.0000000000005</v>
      </c>
      <c r="G114" s="78">
        <f t="shared" si="3"/>
        <v>2571.6000000000004</v>
      </c>
      <c r="H114" s="260"/>
    </row>
    <row r="115" spans="1:8" ht="31.5" x14ac:dyDescent="0.25">
      <c r="A115" s="433"/>
      <c r="B115" s="467"/>
      <c r="C115" s="39" t="s">
        <v>700</v>
      </c>
      <c r="D115" s="257"/>
      <c r="E115" s="266"/>
      <c r="F115" s="81">
        <f>1544*1.07+0.92</f>
        <v>1653.0000000000002</v>
      </c>
      <c r="G115" s="78">
        <f t="shared" si="3"/>
        <v>1983.6000000000001</v>
      </c>
      <c r="H115" s="260"/>
    </row>
    <row r="116" spans="1:8" x14ac:dyDescent="0.25">
      <c r="A116" s="433"/>
      <c r="B116" s="467"/>
      <c r="C116" s="269" t="s">
        <v>700</v>
      </c>
      <c r="D116" s="257" t="s">
        <v>85</v>
      </c>
      <c r="E116" s="38" t="s">
        <v>12</v>
      </c>
      <c r="F116" s="81">
        <f>821*1.07+0.53</f>
        <v>879</v>
      </c>
      <c r="G116" s="78">
        <f t="shared" si="3"/>
        <v>1054.8</v>
      </c>
      <c r="H116" s="269" t="s">
        <v>611</v>
      </c>
    </row>
    <row r="117" spans="1:8" ht="31.5" x14ac:dyDescent="0.25">
      <c r="A117" s="434"/>
      <c r="B117" s="535"/>
      <c r="C117" s="269"/>
      <c r="D117" s="257"/>
      <c r="E117" s="38" t="s">
        <v>206</v>
      </c>
      <c r="F117" s="81">
        <f>1643*1.07+0.99</f>
        <v>1759</v>
      </c>
      <c r="G117" s="78">
        <f t="shared" si="3"/>
        <v>2110.7999999999997</v>
      </c>
      <c r="H117" s="269"/>
    </row>
    <row r="118" spans="1:8" x14ac:dyDescent="0.25">
      <c r="A118" s="432">
        <v>11</v>
      </c>
      <c r="B118" s="258" t="s">
        <v>87</v>
      </c>
      <c r="C118" s="262" t="s">
        <v>88</v>
      </c>
      <c r="D118" s="262"/>
      <c r="E118" s="262"/>
      <c r="F118" s="262"/>
      <c r="G118" s="262"/>
      <c r="H118" s="75"/>
    </row>
    <row r="119" spans="1:8" ht="157.5" x14ac:dyDescent="0.25">
      <c r="A119" s="433"/>
      <c r="B119" s="258"/>
      <c r="C119" s="77" t="s">
        <v>475</v>
      </c>
      <c r="D119" s="269" t="s">
        <v>89</v>
      </c>
      <c r="E119" s="269" t="s">
        <v>262</v>
      </c>
      <c r="F119" s="78">
        <f>228*1.07+0.04</f>
        <v>244</v>
      </c>
      <c r="G119" s="78">
        <f t="shared" ref="G119:G129" si="4">F119*1.2</f>
        <v>292.8</v>
      </c>
      <c r="H119" s="39" t="s">
        <v>709</v>
      </c>
    </row>
    <row r="120" spans="1:8" ht="110.25" x14ac:dyDescent="0.25">
      <c r="A120" s="433"/>
      <c r="B120" s="258"/>
      <c r="C120" s="77" t="s">
        <v>613</v>
      </c>
      <c r="D120" s="269"/>
      <c r="E120" s="269"/>
      <c r="F120" s="78">
        <f>1535*1.07+0.55</f>
        <v>1643</v>
      </c>
      <c r="G120" s="78">
        <f t="shared" si="4"/>
        <v>1971.6</v>
      </c>
      <c r="H120" s="79" t="s">
        <v>614</v>
      </c>
    </row>
    <row r="121" spans="1:8" x14ac:dyDescent="0.25">
      <c r="A121" s="433"/>
      <c r="B121" s="258"/>
      <c r="C121" s="77" t="s">
        <v>475</v>
      </c>
      <c r="D121" s="257" t="s">
        <v>89</v>
      </c>
      <c r="E121" s="266" t="s">
        <v>12</v>
      </c>
      <c r="F121" s="81">
        <f>466*1.07+0.38</f>
        <v>499</v>
      </c>
      <c r="G121" s="78">
        <f t="shared" si="4"/>
        <v>598.79999999999995</v>
      </c>
      <c r="H121" s="269" t="s">
        <v>612</v>
      </c>
    </row>
    <row r="122" spans="1:8" x14ac:dyDescent="0.25">
      <c r="A122" s="433"/>
      <c r="B122" s="258"/>
      <c r="C122" s="77" t="s">
        <v>615</v>
      </c>
      <c r="D122" s="257"/>
      <c r="E122" s="266"/>
      <c r="F122" s="81">
        <f>3131*1.07+0.83</f>
        <v>3351</v>
      </c>
      <c r="G122" s="78">
        <f t="shared" si="4"/>
        <v>4021.2</v>
      </c>
      <c r="H122" s="257"/>
    </row>
    <row r="123" spans="1:8" ht="110.25" x14ac:dyDescent="0.25">
      <c r="A123" s="433"/>
      <c r="B123" s="258"/>
      <c r="C123" s="77" t="s">
        <v>613</v>
      </c>
      <c r="D123" s="257"/>
      <c r="E123" s="266"/>
      <c r="F123" s="81">
        <f>2319*1.07+0.67</f>
        <v>2482</v>
      </c>
      <c r="G123" s="78">
        <f t="shared" si="4"/>
        <v>2978.4</v>
      </c>
      <c r="H123" s="79" t="s">
        <v>616</v>
      </c>
    </row>
    <row r="124" spans="1:8" x14ac:dyDescent="0.25">
      <c r="A124" s="433"/>
      <c r="B124" s="258"/>
      <c r="C124" s="77" t="s">
        <v>475</v>
      </c>
      <c r="D124" s="257" t="s">
        <v>89</v>
      </c>
      <c r="E124" s="266" t="s">
        <v>13</v>
      </c>
      <c r="F124" s="81">
        <f>565*1.07+0.45</f>
        <v>605.00000000000011</v>
      </c>
      <c r="G124" s="78">
        <f t="shared" si="4"/>
        <v>726.00000000000011</v>
      </c>
      <c r="H124" s="269" t="s">
        <v>612</v>
      </c>
    </row>
    <row r="125" spans="1:8" x14ac:dyDescent="0.25">
      <c r="A125" s="433"/>
      <c r="B125" s="258"/>
      <c r="C125" s="77" t="s">
        <v>615</v>
      </c>
      <c r="D125" s="257"/>
      <c r="E125" s="266"/>
      <c r="F125" s="81">
        <f>3586*1.07+0.98</f>
        <v>3838.0000000000005</v>
      </c>
      <c r="G125" s="78">
        <f t="shared" si="4"/>
        <v>4605.6000000000004</v>
      </c>
      <c r="H125" s="260"/>
    </row>
    <row r="126" spans="1:8" ht="94.5" x14ac:dyDescent="0.25">
      <c r="A126" s="433"/>
      <c r="B126" s="258"/>
      <c r="C126" s="77" t="s">
        <v>613</v>
      </c>
      <c r="D126" s="257"/>
      <c r="E126" s="266"/>
      <c r="F126" s="81">
        <f>2652*1.07+0.36</f>
        <v>2838.0000000000005</v>
      </c>
      <c r="G126" s="78">
        <f t="shared" si="4"/>
        <v>3405.6000000000004</v>
      </c>
      <c r="H126" s="79" t="s">
        <v>617</v>
      </c>
    </row>
    <row r="127" spans="1:8" x14ac:dyDescent="0.25">
      <c r="A127" s="433"/>
      <c r="B127" s="258"/>
      <c r="C127" s="77" t="s">
        <v>475</v>
      </c>
      <c r="D127" s="257" t="s">
        <v>89</v>
      </c>
      <c r="E127" s="266" t="s">
        <v>148</v>
      </c>
      <c r="F127" s="81">
        <f>583*1.07+0.19</f>
        <v>624.00000000000011</v>
      </c>
      <c r="G127" s="78">
        <f t="shared" si="4"/>
        <v>748.80000000000007</v>
      </c>
      <c r="H127" s="269" t="s">
        <v>612</v>
      </c>
    </row>
    <row r="128" spans="1:8" x14ac:dyDescent="0.25">
      <c r="A128" s="433"/>
      <c r="B128" s="258"/>
      <c r="C128" s="77" t="s">
        <v>615</v>
      </c>
      <c r="D128" s="257"/>
      <c r="E128" s="266"/>
      <c r="F128" s="81">
        <f>3685*1.07+0.05</f>
        <v>3943.0000000000005</v>
      </c>
      <c r="G128" s="78">
        <f t="shared" si="4"/>
        <v>4731.6000000000004</v>
      </c>
      <c r="H128" s="260"/>
    </row>
    <row r="129" spans="1:8" ht="94.5" x14ac:dyDescent="0.25">
      <c r="A129" s="433"/>
      <c r="B129" s="258"/>
      <c r="C129" s="77" t="s">
        <v>613</v>
      </c>
      <c r="D129" s="257"/>
      <c r="E129" s="266"/>
      <c r="F129" s="81">
        <f>2727*1.07+0.11</f>
        <v>2918.0000000000005</v>
      </c>
      <c r="G129" s="78">
        <f t="shared" si="4"/>
        <v>3501.6000000000004</v>
      </c>
      <c r="H129" s="79" t="s">
        <v>617</v>
      </c>
    </row>
    <row r="130" spans="1:8" x14ac:dyDescent="0.25">
      <c r="A130" s="433"/>
      <c r="B130" s="258"/>
      <c r="C130" s="77" t="s">
        <v>475</v>
      </c>
      <c r="D130" s="257" t="s">
        <v>89</v>
      </c>
      <c r="E130" s="156" t="s">
        <v>12</v>
      </c>
      <c r="F130" s="81">
        <f>68*1.07+0.24</f>
        <v>73</v>
      </c>
      <c r="G130" s="78">
        <f>F130*1.2</f>
        <v>87.6</v>
      </c>
      <c r="H130" s="260" t="s">
        <v>618</v>
      </c>
    </row>
    <row r="131" spans="1:8" ht="31.5" x14ac:dyDescent="0.25">
      <c r="A131" s="433"/>
      <c r="B131" s="258"/>
      <c r="C131" s="77" t="s">
        <v>475</v>
      </c>
      <c r="D131" s="257"/>
      <c r="E131" s="38" t="s">
        <v>206</v>
      </c>
      <c r="F131" s="81">
        <f>244*1.07+0.92</f>
        <v>262.00000000000006</v>
      </c>
      <c r="G131" s="78">
        <f>F131*1.2</f>
        <v>314.40000000000003</v>
      </c>
      <c r="H131" s="260"/>
    </row>
    <row r="132" spans="1:8" ht="47.25" x14ac:dyDescent="0.25">
      <c r="A132" s="433"/>
      <c r="B132" s="258"/>
      <c r="C132" s="77" t="s">
        <v>88</v>
      </c>
      <c r="D132" s="156" t="s">
        <v>619</v>
      </c>
      <c r="E132" s="253"/>
      <c r="F132" s="81">
        <f>15*1.07+0.95</f>
        <v>17</v>
      </c>
      <c r="G132" s="78">
        <f t="shared" ref="G132:G136" si="5">F132*1.2</f>
        <v>20.399999999999999</v>
      </c>
      <c r="H132" s="79" t="s">
        <v>620</v>
      </c>
    </row>
    <row r="133" spans="1:8" ht="110.25" x14ac:dyDescent="0.25">
      <c r="A133" s="434"/>
      <c r="B133" s="258"/>
      <c r="C133" s="77" t="s">
        <v>621</v>
      </c>
      <c r="D133" s="156" t="s">
        <v>619</v>
      </c>
      <c r="E133" s="253"/>
      <c r="F133" s="81">
        <f>81*1.07+0.33</f>
        <v>87</v>
      </c>
      <c r="G133" s="78">
        <f>F133*1.2</f>
        <v>104.39999999999999</v>
      </c>
      <c r="H133" s="99" t="s">
        <v>616</v>
      </c>
    </row>
    <row r="134" spans="1:8" x14ac:dyDescent="0.25">
      <c r="A134" s="372">
        <v>12</v>
      </c>
      <c r="B134" s="307" t="s">
        <v>274</v>
      </c>
      <c r="C134" s="289" t="s">
        <v>275</v>
      </c>
      <c r="D134" s="289"/>
      <c r="E134" s="289"/>
      <c r="F134" s="289"/>
      <c r="G134" s="289"/>
      <c r="H134" s="289"/>
    </row>
    <row r="135" spans="1:8" ht="31.5" x14ac:dyDescent="0.25">
      <c r="A135" s="352"/>
      <c r="B135" s="308"/>
      <c r="C135" s="260" t="s">
        <v>275</v>
      </c>
      <c r="D135" s="77" t="s">
        <v>622</v>
      </c>
      <c r="E135" s="156" t="s">
        <v>571</v>
      </c>
      <c r="F135" s="81">
        <f>1953*1.07+0.29</f>
        <v>2090</v>
      </c>
      <c r="G135" s="78">
        <f>F135*1.2</f>
        <v>2508</v>
      </c>
      <c r="H135" s="79" t="s">
        <v>623</v>
      </c>
    </row>
    <row r="136" spans="1:8" ht="47.25" x14ac:dyDescent="0.25">
      <c r="A136" s="352"/>
      <c r="B136" s="308"/>
      <c r="C136" s="260"/>
      <c r="D136" s="77" t="s">
        <v>624</v>
      </c>
      <c r="E136" s="156" t="s">
        <v>153</v>
      </c>
      <c r="F136" s="81">
        <f>356*1.07+0.08</f>
        <v>381</v>
      </c>
      <c r="G136" s="78">
        <f t="shared" si="5"/>
        <v>457.2</v>
      </c>
      <c r="H136" s="79" t="s">
        <v>625</v>
      </c>
    </row>
    <row r="137" spans="1:8" x14ac:dyDescent="0.25">
      <c r="A137" s="352"/>
      <c r="B137" s="308"/>
      <c r="C137" s="260"/>
      <c r="D137" s="266"/>
      <c r="E137" s="266" t="s">
        <v>575</v>
      </c>
      <c r="F137" s="277">
        <f>870*1.07+0.1</f>
        <v>931.00000000000011</v>
      </c>
      <c r="G137" s="277">
        <f>F137*1.2</f>
        <v>1117.2</v>
      </c>
      <c r="H137" s="260" t="s">
        <v>626</v>
      </c>
    </row>
    <row r="138" spans="1:8" x14ac:dyDescent="0.25">
      <c r="A138" s="330"/>
      <c r="B138" s="309"/>
      <c r="C138" s="260"/>
      <c r="D138" s="257"/>
      <c r="E138" s="257"/>
      <c r="F138" s="569"/>
      <c r="G138" s="277"/>
      <c r="H138" s="260"/>
    </row>
    <row r="139" spans="1:8" x14ac:dyDescent="0.25">
      <c r="A139" s="257">
        <v>13</v>
      </c>
      <c r="B139" s="307" t="s">
        <v>44</v>
      </c>
      <c r="C139" s="481" t="s">
        <v>157</v>
      </c>
      <c r="D139" s="482"/>
      <c r="E139" s="482"/>
      <c r="F139" s="482"/>
      <c r="G139" s="482"/>
      <c r="H139" s="483"/>
    </row>
    <row r="140" spans="1:8" ht="31.5" x14ac:dyDescent="0.25">
      <c r="A140" s="257"/>
      <c r="B140" s="308"/>
      <c r="C140" s="77" t="s">
        <v>157</v>
      </c>
      <c r="D140" s="77" t="s">
        <v>45</v>
      </c>
      <c r="E140" s="156"/>
      <c r="F140" s="81">
        <f>589*1.07+0.77</f>
        <v>631</v>
      </c>
      <c r="G140" s="78">
        <f>F140*1.2</f>
        <v>757.19999999999993</v>
      </c>
      <c r="H140" s="77" t="s">
        <v>627</v>
      </c>
    </row>
    <row r="141" spans="1:8" ht="31.5" x14ac:dyDescent="0.25">
      <c r="A141" s="257"/>
      <c r="B141" s="309"/>
      <c r="C141" s="77" t="s">
        <v>157</v>
      </c>
      <c r="D141" s="77" t="s">
        <v>45</v>
      </c>
      <c r="E141" s="156"/>
      <c r="F141" s="81">
        <f>447*1.07+0.71</f>
        <v>479</v>
      </c>
      <c r="G141" s="78">
        <f>F141*1.2</f>
        <v>574.79999999999995</v>
      </c>
      <c r="H141" s="77" t="s">
        <v>391</v>
      </c>
    </row>
    <row r="142" spans="1:8" x14ac:dyDescent="0.25">
      <c r="A142" s="257">
        <v>14</v>
      </c>
      <c r="B142" s="307" t="s">
        <v>162</v>
      </c>
      <c r="C142" s="481" t="s">
        <v>163</v>
      </c>
      <c r="D142" s="482"/>
      <c r="E142" s="482"/>
      <c r="F142" s="482"/>
      <c r="G142" s="482"/>
      <c r="H142" s="483"/>
    </row>
    <row r="143" spans="1:8" ht="31.5" x14ac:dyDescent="0.25">
      <c r="A143" s="257"/>
      <c r="B143" s="308"/>
      <c r="C143" s="77" t="s">
        <v>163</v>
      </c>
      <c r="D143" s="77" t="s">
        <v>45</v>
      </c>
      <c r="E143" s="156"/>
      <c r="F143" s="81">
        <f>3735*1.07+0.55</f>
        <v>3997.0000000000005</v>
      </c>
      <c r="G143" s="78">
        <f>F143*1.2</f>
        <v>4796.4000000000005</v>
      </c>
      <c r="H143" s="77" t="s">
        <v>433</v>
      </c>
    </row>
    <row r="144" spans="1:8" x14ac:dyDescent="0.25">
      <c r="A144" s="257"/>
      <c r="B144" s="308"/>
      <c r="C144" s="261" t="s">
        <v>163</v>
      </c>
      <c r="D144" s="76" t="s">
        <v>11</v>
      </c>
      <c r="E144" s="156" t="s">
        <v>354</v>
      </c>
      <c r="F144" s="81">
        <f>1483*1.07+0.19</f>
        <v>1587.0000000000002</v>
      </c>
      <c r="G144" s="78">
        <f>F144*1.2</f>
        <v>1904.4</v>
      </c>
      <c r="H144" s="260" t="s">
        <v>628</v>
      </c>
    </row>
    <row r="145" spans="1:8" ht="31.5" x14ac:dyDescent="0.25">
      <c r="A145" s="257"/>
      <c r="B145" s="309"/>
      <c r="C145" s="261"/>
      <c r="D145" s="76" t="s">
        <v>11</v>
      </c>
      <c r="E145" s="38" t="s">
        <v>206</v>
      </c>
      <c r="F145" s="81">
        <f>1483*1.07+0.19</f>
        <v>1587.0000000000002</v>
      </c>
      <c r="G145" s="78">
        <f>F145*1.2</f>
        <v>1904.4</v>
      </c>
      <c r="H145" s="260"/>
    </row>
    <row r="146" spans="1:8" ht="47.25" x14ac:dyDescent="0.25">
      <c r="A146" s="76">
        <v>15</v>
      </c>
      <c r="B146" s="37" t="s">
        <v>285</v>
      </c>
      <c r="C146" s="77" t="s">
        <v>629</v>
      </c>
      <c r="D146" s="76" t="s">
        <v>153</v>
      </c>
      <c r="E146" s="156"/>
      <c r="F146" s="81">
        <f>125*1.07+0.25</f>
        <v>134</v>
      </c>
      <c r="G146" s="78">
        <f>F146*1.2</f>
        <v>160.79999999999998</v>
      </c>
      <c r="H146" s="79" t="s">
        <v>630</v>
      </c>
    </row>
    <row r="147" spans="1:8" x14ac:dyDescent="0.25">
      <c r="A147" s="257">
        <v>16</v>
      </c>
      <c r="B147" s="258" t="s">
        <v>170</v>
      </c>
      <c r="C147" s="443" t="s">
        <v>167</v>
      </c>
      <c r="D147" s="444"/>
      <c r="E147" s="444"/>
      <c r="F147" s="444"/>
      <c r="G147" s="444"/>
      <c r="H147" s="445"/>
    </row>
    <row r="148" spans="1:8" ht="31.5" x14ac:dyDescent="0.25">
      <c r="A148" s="257"/>
      <c r="B148" s="258"/>
      <c r="C148" s="99" t="s">
        <v>167</v>
      </c>
      <c r="D148" s="77" t="s">
        <v>11</v>
      </c>
      <c r="E148" s="156"/>
      <c r="F148" s="81">
        <f>1869*1.07+0.17</f>
        <v>2000.0000000000002</v>
      </c>
      <c r="G148" s="78">
        <f>F148*1.2</f>
        <v>2400</v>
      </c>
      <c r="H148" s="79" t="s">
        <v>487</v>
      </c>
    </row>
    <row r="149" spans="1:8" x14ac:dyDescent="0.25">
      <c r="A149" s="276" t="s">
        <v>94</v>
      </c>
      <c r="B149" s="257"/>
      <c r="C149" s="257"/>
      <c r="D149" s="257"/>
      <c r="E149" s="257"/>
      <c r="F149" s="257"/>
      <c r="G149" s="257"/>
      <c r="H149" s="257"/>
    </row>
    <row r="150" spans="1:8" x14ac:dyDescent="0.25">
      <c r="A150" s="257">
        <v>17</v>
      </c>
      <c r="B150" s="258" t="s">
        <v>175</v>
      </c>
      <c r="C150" s="260" t="s">
        <v>94</v>
      </c>
      <c r="D150" s="261" t="s">
        <v>11</v>
      </c>
      <c r="E150" s="156" t="s">
        <v>262</v>
      </c>
      <c r="F150" s="81">
        <f>2725*1.07+0.25</f>
        <v>2916</v>
      </c>
      <c r="G150" s="78">
        <f t="shared" ref="G150:G155" si="6">F150*1.2</f>
        <v>3499.2</v>
      </c>
      <c r="H150" s="260" t="s">
        <v>631</v>
      </c>
    </row>
    <row r="151" spans="1:8" x14ac:dyDescent="0.25">
      <c r="A151" s="257"/>
      <c r="B151" s="258"/>
      <c r="C151" s="260"/>
      <c r="D151" s="261"/>
      <c r="E151" s="156" t="s">
        <v>12</v>
      </c>
      <c r="F151" s="81">
        <f>3338*1.07+0.34</f>
        <v>3572.0000000000005</v>
      </c>
      <c r="G151" s="78">
        <f t="shared" si="6"/>
        <v>4286.4000000000005</v>
      </c>
      <c r="H151" s="260"/>
    </row>
    <row r="152" spans="1:8" x14ac:dyDescent="0.25">
      <c r="A152" s="257"/>
      <c r="B152" s="258"/>
      <c r="C152" s="260"/>
      <c r="D152" s="261"/>
      <c r="E152" s="156" t="s">
        <v>13</v>
      </c>
      <c r="F152" s="81">
        <f>3956*1.07+0.08</f>
        <v>4233</v>
      </c>
      <c r="G152" s="78">
        <f t="shared" si="6"/>
        <v>5079.5999999999995</v>
      </c>
      <c r="H152" s="260"/>
    </row>
    <row r="153" spans="1:8" x14ac:dyDescent="0.25">
      <c r="A153" s="257"/>
      <c r="B153" s="258"/>
      <c r="C153" s="260"/>
      <c r="D153" s="261"/>
      <c r="E153" s="156" t="s">
        <v>148</v>
      </c>
      <c r="F153" s="81">
        <f>4064*1.07+0.52</f>
        <v>4349.0000000000009</v>
      </c>
      <c r="G153" s="78">
        <f t="shared" si="6"/>
        <v>5218.8000000000011</v>
      </c>
      <c r="H153" s="260"/>
    </row>
    <row r="154" spans="1:8" x14ac:dyDescent="0.25">
      <c r="A154" s="257"/>
      <c r="B154" s="258"/>
      <c r="C154" s="260" t="s">
        <v>94</v>
      </c>
      <c r="D154" s="261" t="s">
        <v>11</v>
      </c>
      <c r="E154" s="156" t="s">
        <v>12</v>
      </c>
      <c r="F154" s="78">
        <f>1375*1.07+0.75</f>
        <v>1472</v>
      </c>
      <c r="G154" s="78">
        <f t="shared" si="6"/>
        <v>1766.3999999999999</v>
      </c>
      <c r="H154" s="260" t="s">
        <v>632</v>
      </c>
    </row>
    <row r="155" spans="1:8" ht="31.5" x14ac:dyDescent="0.25">
      <c r="A155" s="257"/>
      <c r="B155" s="258"/>
      <c r="C155" s="260"/>
      <c r="D155" s="261"/>
      <c r="E155" s="38" t="s">
        <v>206</v>
      </c>
      <c r="F155" s="78">
        <f>2472*1.07+0.96</f>
        <v>2646</v>
      </c>
      <c r="G155" s="78">
        <f t="shared" si="6"/>
        <v>3175.2</v>
      </c>
      <c r="H155" s="260"/>
    </row>
    <row r="156" spans="1:8" ht="47.25" x14ac:dyDescent="0.25">
      <c r="A156" s="257"/>
      <c r="B156" s="258"/>
      <c r="C156" s="260" t="s">
        <v>94</v>
      </c>
      <c r="D156" s="261" t="s">
        <v>3</v>
      </c>
      <c r="E156" s="266"/>
      <c r="F156" s="81">
        <f>357*1.07+0.01</f>
        <v>382</v>
      </c>
      <c r="G156" s="78">
        <f>F156*1.2</f>
        <v>458.4</v>
      </c>
      <c r="H156" s="79" t="s">
        <v>633</v>
      </c>
    </row>
    <row r="157" spans="1:8" x14ac:dyDescent="0.25">
      <c r="A157" s="257"/>
      <c r="B157" s="258"/>
      <c r="C157" s="260"/>
      <c r="D157" s="261"/>
      <c r="E157" s="266"/>
      <c r="F157" s="266" t="s">
        <v>14</v>
      </c>
      <c r="G157" s="266"/>
      <c r="H157" s="79" t="s">
        <v>634</v>
      </c>
    </row>
    <row r="158" spans="1:8" ht="31.5" x14ac:dyDescent="0.25">
      <c r="A158" s="257"/>
      <c r="B158" s="258"/>
      <c r="C158" s="79" t="s">
        <v>94</v>
      </c>
      <c r="D158" s="77" t="s">
        <v>2</v>
      </c>
      <c r="E158" s="156"/>
      <c r="F158" s="81">
        <f>4785*1.07+0.05</f>
        <v>5120.0000000000009</v>
      </c>
      <c r="G158" s="81">
        <f>F158*1.2</f>
        <v>6144.0000000000009</v>
      </c>
      <c r="H158" s="79" t="s">
        <v>635</v>
      </c>
    </row>
    <row r="159" spans="1:8" x14ac:dyDescent="0.25">
      <c r="A159" s="311">
        <v>18</v>
      </c>
      <c r="B159" s="307" t="s">
        <v>297</v>
      </c>
      <c r="C159" s="443" t="s">
        <v>178</v>
      </c>
      <c r="D159" s="444"/>
      <c r="E159" s="444"/>
      <c r="F159" s="444"/>
      <c r="G159" s="444"/>
      <c r="H159" s="445"/>
    </row>
    <row r="160" spans="1:8" ht="47.25" x14ac:dyDescent="0.25">
      <c r="A160" s="312"/>
      <c r="B160" s="308"/>
      <c r="C160" s="76" t="s">
        <v>636</v>
      </c>
      <c r="D160" s="77" t="s">
        <v>2</v>
      </c>
      <c r="E160" s="76" t="s">
        <v>582</v>
      </c>
      <c r="F160" s="81">
        <f>14838*1.07+0.34</f>
        <v>15877.000000000002</v>
      </c>
      <c r="G160" s="78">
        <f>F160*1.2</f>
        <v>19052.400000000001</v>
      </c>
      <c r="H160" s="79" t="s">
        <v>710</v>
      </c>
    </row>
    <row r="161" spans="1:8" ht="47.25" x14ac:dyDescent="0.25">
      <c r="A161" s="312"/>
      <c r="B161" s="308"/>
      <c r="C161" s="76" t="s">
        <v>637</v>
      </c>
      <c r="D161" s="77" t="s">
        <v>11</v>
      </c>
      <c r="E161" s="156" t="s">
        <v>582</v>
      </c>
      <c r="F161" s="81">
        <f>12579*1.07+0.47</f>
        <v>13460</v>
      </c>
      <c r="G161" s="78">
        <f>F161*1.2</f>
        <v>16152</v>
      </c>
      <c r="H161" s="79" t="s">
        <v>711</v>
      </c>
    </row>
    <row r="162" spans="1:8" x14ac:dyDescent="0.25">
      <c r="A162" s="313"/>
      <c r="B162" s="309"/>
      <c r="C162" s="76" t="s">
        <v>638</v>
      </c>
      <c r="D162" s="77" t="s">
        <v>11</v>
      </c>
      <c r="E162" s="156" t="s">
        <v>582</v>
      </c>
      <c r="F162" s="81">
        <f>5752*1.07+0.36</f>
        <v>6155</v>
      </c>
      <c r="G162" s="78">
        <f>F162*1.2</f>
        <v>7386</v>
      </c>
      <c r="H162" s="79" t="s">
        <v>639</v>
      </c>
    </row>
    <row r="163" spans="1:8" x14ac:dyDescent="0.25">
      <c r="A163" s="258" t="s">
        <v>46</v>
      </c>
      <c r="B163" s="258"/>
      <c r="C163" s="264" t="s">
        <v>47</v>
      </c>
      <c r="D163" s="264"/>
      <c r="E163" s="264"/>
      <c r="F163" s="264"/>
      <c r="G163" s="264"/>
      <c r="H163" s="264"/>
    </row>
    <row r="164" spans="1:8" x14ac:dyDescent="0.25">
      <c r="A164" s="265" t="s">
        <v>496</v>
      </c>
      <c r="B164" s="258" t="s">
        <v>493</v>
      </c>
      <c r="C164" s="260" t="s">
        <v>494</v>
      </c>
      <c r="D164" s="260" t="s">
        <v>11</v>
      </c>
      <c r="E164" s="156" t="s">
        <v>12</v>
      </c>
      <c r="F164" s="265" t="s">
        <v>14</v>
      </c>
      <c r="G164" s="265"/>
      <c r="H164" s="255"/>
    </row>
    <row r="165" spans="1:8" ht="31.5" x14ac:dyDescent="0.25">
      <c r="A165" s="265"/>
      <c r="B165" s="258"/>
      <c r="C165" s="260"/>
      <c r="D165" s="260"/>
      <c r="E165" s="38" t="s">
        <v>206</v>
      </c>
      <c r="F165" s="265" t="s">
        <v>14</v>
      </c>
      <c r="G165" s="265"/>
      <c r="H165" s="79"/>
    </row>
    <row r="166" spans="1:8" ht="31.5" x14ac:dyDescent="0.25">
      <c r="A166" s="38" t="s">
        <v>180</v>
      </c>
      <c r="B166" s="37" t="s">
        <v>437</v>
      </c>
      <c r="C166" s="79" t="s">
        <v>438</v>
      </c>
      <c r="D166" s="79" t="s">
        <v>2</v>
      </c>
      <c r="E166" s="156"/>
      <c r="F166" s="265" t="s">
        <v>14</v>
      </c>
      <c r="G166" s="265"/>
      <c r="H166" s="79" t="s">
        <v>640</v>
      </c>
    </row>
    <row r="167" spans="1:8" ht="31.5" x14ac:dyDescent="0.25">
      <c r="A167" s="38" t="s">
        <v>641</v>
      </c>
      <c r="B167" s="37" t="s">
        <v>54</v>
      </c>
      <c r="C167" s="79" t="s">
        <v>307</v>
      </c>
      <c r="D167" s="79" t="s">
        <v>11</v>
      </c>
      <c r="E167" s="156" t="s">
        <v>187</v>
      </c>
      <c r="F167" s="265" t="s">
        <v>14</v>
      </c>
      <c r="G167" s="265"/>
      <c r="H167" s="79" t="s">
        <v>640</v>
      </c>
    </row>
    <row r="168" spans="1:8" x14ac:dyDescent="0.25">
      <c r="A168" s="257">
        <v>22</v>
      </c>
      <c r="B168" s="258" t="s">
        <v>48</v>
      </c>
      <c r="C168" s="260" t="s">
        <v>49</v>
      </c>
      <c r="D168" s="261" t="s">
        <v>11</v>
      </c>
      <c r="E168" s="156" t="s">
        <v>12</v>
      </c>
      <c r="F168" s="265" t="s">
        <v>14</v>
      </c>
      <c r="G168" s="265"/>
      <c r="H168" s="79"/>
    </row>
    <row r="169" spans="1:8" ht="31.5" x14ac:dyDescent="0.25">
      <c r="A169" s="257"/>
      <c r="B169" s="258"/>
      <c r="C169" s="260"/>
      <c r="D169" s="261"/>
      <c r="E169" s="38" t="s">
        <v>206</v>
      </c>
      <c r="F169" s="265" t="s">
        <v>14</v>
      </c>
      <c r="G169" s="265"/>
      <c r="H169" s="79"/>
    </row>
    <row r="170" spans="1:8" ht="47.25" x14ac:dyDescent="0.25">
      <c r="A170" s="76">
        <v>23</v>
      </c>
      <c r="B170" s="37" t="s">
        <v>183</v>
      </c>
      <c r="C170" s="79" t="s">
        <v>184</v>
      </c>
      <c r="D170" s="77" t="s">
        <v>2</v>
      </c>
      <c r="E170" s="155"/>
      <c r="F170" s="265" t="s">
        <v>14</v>
      </c>
      <c r="G170" s="265"/>
      <c r="H170" s="155"/>
    </row>
    <row r="171" spans="1:8" s="554" customFormat="1" ht="15.75" customHeight="1" x14ac:dyDescent="0.25">
      <c r="A171" s="257">
        <v>24</v>
      </c>
      <c r="B171" s="258" t="s">
        <v>309</v>
      </c>
      <c r="C171" s="443" t="s">
        <v>310</v>
      </c>
      <c r="D171" s="444"/>
      <c r="E171" s="444"/>
      <c r="F171" s="444"/>
      <c r="G171" s="444"/>
      <c r="H171" s="445"/>
    </row>
    <row r="172" spans="1:8" s="554" customFormat="1" ht="31.5" x14ac:dyDescent="0.25">
      <c r="A172" s="257"/>
      <c r="B172" s="258"/>
      <c r="C172" s="79" t="s">
        <v>642</v>
      </c>
      <c r="D172" s="77" t="s">
        <v>3</v>
      </c>
      <c r="E172" s="155"/>
      <c r="F172" s="78">
        <f>8215*1.07+0.95</f>
        <v>8791.0000000000018</v>
      </c>
      <c r="G172" s="78">
        <f>F172*1.2</f>
        <v>10549.200000000003</v>
      </c>
      <c r="H172" s="79" t="s">
        <v>643</v>
      </c>
    </row>
    <row r="173" spans="1:8" x14ac:dyDescent="0.25">
      <c r="A173" s="311">
        <v>25</v>
      </c>
      <c r="B173" s="307" t="s">
        <v>313</v>
      </c>
      <c r="C173" s="264" t="s">
        <v>186</v>
      </c>
      <c r="D173" s="264"/>
      <c r="E173" s="264"/>
      <c r="F173" s="264"/>
      <c r="G173" s="264"/>
      <c r="H173" s="264"/>
    </row>
    <row r="174" spans="1:8" ht="110.25" x14ac:dyDescent="0.25">
      <c r="A174" s="312"/>
      <c r="B174" s="308"/>
      <c r="C174" s="260" t="s">
        <v>499</v>
      </c>
      <c r="D174" s="77" t="s">
        <v>11</v>
      </c>
      <c r="E174" s="155" t="s">
        <v>187</v>
      </c>
      <c r="F174" s="265" t="s">
        <v>14</v>
      </c>
      <c r="G174" s="265"/>
      <c r="H174" s="79" t="s">
        <v>713</v>
      </c>
    </row>
    <row r="175" spans="1:8" ht="63" x14ac:dyDescent="0.25">
      <c r="A175" s="313"/>
      <c r="B175" s="309"/>
      <c r="C175" s="260"/>
      <c r="D175" s="79" t="s">
        <v>63</v>
      </c>
      <c r="E175" s="79" t="s">
        <v>712</v>
      </c>
      <c r="F175" s="81">
        <v>212</v>
      </c>
      <c r="G175" s="78">
        <f t="shared" ref="G175:G176" si="7">F175*1.2</f>
        <v>254.39999999999998</v>
      </c>
      <c r="H175" s="79" t="s">
        <v>64</v>
      </c>
    </row>
    <row r="176" spans="1:8" ht="47.25" x14ac:dyDescent="0.25">
      <c r="A176" s="76">
        <v>26</v>
      </c>
      <c r="B176" s="37" t="s">
        <v>316</v>
      </c>
      <c r="C176" s="79" t="s">
        <v>384</v>
      </c>
      <c r="D176" s="77" t="s">
        <v>3</v>
      </c>
      <c r="E176" s="155"/>
      <c r="F176" s="78">
        <v>2181.91</v>
      </c>
      <c r="G176" s="78">
        <f t="shared" si="7"/>
        <v>2618.2919999999999</v>
      </c>
      <c r="H176" s="79"/>
    </row>
    <row r="177" spans="1:8" x14ac:dyDescent="0.25">
      <c r="A177" s="298" t="s">
        <v>190</v>
      </c>
      <c r="B177" s="298"/>
      <c r="C177" s="276" t="s">
        <v>191</v>
      </c>
      <c r="D177" s="276"/>
      <c r="E177" s="276"/>
      <c r="F177" s="276"/>
      <c r="G177" s="276"/>
      <c r="H177" s="276"/>
    </row>
    <row r="178" spans="1:8" x14ac:dyDescent="0.25">
      <c r="A178" s="257">
        <v>27</v>
      </c>
      <c r="B178" s="258" t="s">
        <v>192</v>
      </c>
      <c r="C178" s="257" t="s">
        <v>193</v>
      </c>
      <c r="D178" s="269" t="s">
        <v>194</v>
      </c>
      <c r="E178" s="156" t="s">
        <v>12</v>
      </c>
      <c r="F178" s="78">
        <f>1735*1.1+0.5</f>
        <v>1909.0000000000002</v>
      </c>
      <c r="G178" s="78">
        <f>F178*1.2</f>
        <v>2290.8000000000002</v>
      </c>
      <c r="H178" s="269" t="s">
        <v>644</v>
      </c>
    </row>
    <row r="179" spans="1:8" x14ac:dyDescent="0.25">
      <c r="A179" s="257"/>
      <c r="B179" s="258"/>
      <c r="C179" s="257"/>
      <c r="D179" s="269"/>
      <c r="E179" s="156" t="s">
        <v>13</v>
      </c>
      <c r="F179" s="78">
        <f>1735*1.1+0.5</f>
        <v>1909.0000000000002</v>
      </c>
      <c r="G179" s="78">
        <f>F179*1.2</f>
        <v>2290.8000000000002</v>
      </c>
      <c r="H179" s="269"/>
    </row>
    <row r="180" spans="1:8" ht="78.75" x14ac:dyDescent="0.25">
      <c r="A180" s="76">
        <v>28</v>
      </c>
      <c r="B180" s="37" t="s">
        <v>319</v>
      </c>
      <c r="C180" s="76" t="s">
        <v>196</v>
      </c>
      <c r="D180" s="39" t="s">
        <v>194</v>
      </c>
      <c r="E180" s="156"/>
      <c r="F180" s="78">
        <f>409*1.1+0.1</f>
        <v>450.00000000000006</v>
      </c>
      <c r="G180" s="78">
        <f>F180*1.2</f>
        <v>540</v>
      </c>
      <c r="H180" s="39" t="s">
        <v>714</v>
      </c>
    </row>
    <row r="181" spans="1:8" x14ac:dyDescent="0.25">
      <c r="A181" s="86"/>
      <c r="B181" s="87"/>
      <c r="C181" s="86"/>
      <c r="D181" s="92"/>
      <c r="E181" s="89"/>
      <c r="F181" s="4"/>
      <c r="G181" s="167"/>
      <c r="H181" s="92"/>
    </row>
    <row r="182" spans="1:8" x14ac:dyDescent="0.25">
      <c r="A182" s="256" t="s">
        <v>65</v>
      </c>
      <c r="B182" s="256"/>
      <c r="C182" s="256"/>
      <c r="D182" s="256"/>
      <c r="E182" s="256"/>
      <c r="F182" s="256"/>
      <c r="G182" s="256"/>
      <c r="H182" s="159"/>
    </row>
    <row r="183" spans="1:8" x14ac:dyDescent="0.25">
      <c r="A183" s="256"/>
      <c r="B183" s="256"/>
      <c r="C183" s="256"/>
      <c r="D183" s="256"/>
      <c r="E183" s="256"/>
      <c r="F183" s="256"/>
      <c r="G183" s="256"/>
      <c r="H183" s="254"/>
    </row>
    <row r="184" spans="1:8" x14ac:dyDescent="0.25">
      <c r="A184" s="256" t="s">
        <v>96</v>
      </c>
      <c r="B184" s="256"/>
      <c r="C184" s="256"/>
      <c r="D184" s="256"/>
      <c r="E184" s="256"/>
      <c r="F184" s="120" t="s">
        <v>97</v>
      </c>
      <c r="G184" s="256"/>
      <c r="H184" s="254"/>
    </row>
    <row r="185" spans="1:8" x14ac:dyDescent="0.25">
      <c r="A185" s="256"/>
      <c r="B185" s="256"/>
      <c r="C185" s="256"/>
      <c r="D185" s="256"/>
      <c r="E185" s="256"/>
      <c r="G185" s="256" t="s">
        <v>172</v>
      </c>
      <c r="H185" s="254"/>
    </row>
    <row r="186" spans="1:8" x14ac:dyDescent="0.25">
      <c r="A186" s="256" t="s">
        <v>66</v>
      </c>
      <c r="B186" s="256"/>
      <c r="C186" s="256"/>
      <c r="D186" s="256"/>
      <c r="E186" s="256"/>
      <c r="F186" s="120" t="s">
        <v>67</v>
      </c>
      <c r="G186" s="256"/>
      <c r="H186" s="114"/>
    </row>
    <row r="187" spans="1:8" x14ac:dyDescent="0.25">
      <c r="A187" s="256"/>
      <c r="B187" s="256"/>
      <c r="C187" s="256"/>
      <c r="D187" s="256"/>
      <c r="E187" s="256"/>
      <c r="G187" s="256"/>
      <c r="H187" s="111"/>
    </row>
    <row r="188" spans="1:8" x14ac:dyDescent="0.25">
      <c r="A188" s="256" t="s">
        <v>68</v>
      </c>
      <c r="B188" s="256"/>
      <c r="C188" s="256"/>
      <c r="D188" s="256"/>
      <c r="E188" s="256"/>
      <c r="F188" s="120" t="s">
        <v>69</v>
      </c>
      <c r="G188" s="256"/>
      <c r="H188" s="111"/>
    </row>
    <row r="189" spans="1:8" x14ac:dyDescent="0.25">
      <c r="A189" s="256"/>
      <c r="B189" s="256"/>
      <c r="C189" s="256"/>
      <c r="D189" s="256"/>
      <c r="E189" s="256"/>
      <c r="G189" s="256"/>
      <c r="H189" s="111"/>
    </row>
    <row r="190" spans="1:8" x14ac:dyDescent="0.25">
      <c r="A190" s="256" t="s">
        <v>645</v>
      </c>
      <c r="B190" s="256"/>
      <c r="C190" s="256"/>
      <c r="D190" s="256"/>
      <c r="E190" s="256"/>
      <c r="F190" s="120" t="s">
        <v>646</v>
      </c>
      <c r="G190" s="256"/>
      <c r="H190" s="111"/>
    </row>
    <row r="191" spans="1:8" x14ac:dyDescent="0.25">
      <c r="A191" s="256"/>
      <c r="B191" s="256"/>
      <c r="C191" s="256"/>
      <c r="D191" s="256"/>
      <c r="E191" s="256"/>
      <c r="F191" s="256"/>
      <c r="G191" s="256"/>
      <c r="H191" s="111"/>
    </row>
    <row r="192" spans="1:8" x14ac:dyDescent="0.25">
      <c r="A192" s="256"/>
      <c r="B192" s="256"/>
      <c r="C192" s="256"/>
      <c r="D192" s="256"/>
      <c r="E192" s="256"/>
      <c r="F192" s="256"/>
      <c r="G192" s="256"/>
    </row>
    <row r="193" spans="1:7" x14ac:dyDescent="0.25">
      <c r="A193" s="256"/>
      <c r="B193" s="256"/>
      <c r="C193" s="256"/>
      <c r="D193" s="256"/>
      <c r="E193" s="256"/>
      <c r="F193" s="256"/>
      <c r="G193" s="256"/>
    </row>
    <row r="194" spans="1:7" x14ac:dyDescent="0.25">
      <c r="A194" s="256"/>
      <c r="B194" s="256"/>
      <c r="C194" s="256"/>
      <c r="D194" s="256"/>
      <c r="E194" s="256"/>
      <c r="F194" s="256"/>
      <c r="G194" s="256"/>
    </row>
    <row r="195" spans="1:7" x14ac:dyDescent="0.25">
      <c r="A195" s="256"/>
      <c r="B195" s="256"/>
      <c r="C195" s="256"/>
      <c r="D195" s="256"/>
      <c r="E195" s="256"/>
      <c r="F195" s="256"/>
      <c r="G195" s="256"/>
    </row>
    <row r="196" spans="1:7" x14ac:dyDescent="0.25">
      <c r="A196" s="256"/>
      <c r="B196" s="256"/>
      <c r="C196" s="256"/>
      <c r="D196" s="256"/>
      <c r="E196" s="256"/>
      <c r="F196" s="256"/>
      <c r="G196" s="256"/>
    </row>
    <row r="197" spans="1:7" x14ac:dyDescent="0.25">
      <c r="A197" s="256"/>
      <c r="B197" s="256"/>
      <c r="C197" s="256"/>
      <c r="D197" s="256"/>
      <c r="E197" s="256"/>
      <c r="F197" s="256"/>
      <c r="G197" s="256"/>
    </row>
    <row r="198" spans="1:7" x14ac:dyDescent="0.25">
      <c r="A198" s="256"/>
      <c r="B198" s="256"/>
      <c r="C198" s="256"/>
      <c r="D198" s="256"/>
      <c r="E198" s="256"/>
      <c r="F198" s="256"/>
      <c r="G198" s="256"/>
    </row>
    <row r="199" spans="1:7" x14ac:dyDescent="0.25">
      <c r="A199" s="256"/>
      <c r="B199" s="256"/>
      <c r="C199" s="256"/>
      <c r="D199" s="256"/>
      <c r="E199" s="256"/>
      <c r="F199" s="256"/>
      <c r="G199" s="256"/>
    </row>
    <row r="200" spans="1:7" x14ac:dyDescent="0.25">
      <c r="A200" s="256"/>
      <c r="B200" s="256"/>
      <c r="C200" s="256"/>
      <c r="D200" s="256"/>
      <c r="E200" s="256"/>
      <c r="F200" s="256"/>
      <c r="G200" s="256"/>
    </row>
    <row r="201" spans="1:7" x14ac:dyDescent="0.25">
      <c r="A201" s="256"/>
      <c r="B201" s="256"/>
      <c r="C201" s="256"/>
      <c r="D201" s="256"/>
      <c r="E201" s="256"/>
      <c r="F201" s="256"/>
      <c r="G201" s="256"/>
    </row>
    <row r="202" spans="1:7" x14ac:dyDescent="0.25">
      <c r="A202" s="256"/>
      <c r="B202" s="256"/>
      <c r="C202" s="256"/>
      <c r="D202" s="256"/>
      <c r="E202" s="256"/>
      <c r="F202" s="256"/>
      <c r="G202" s="256"/>
    </row>
    <row r="203" spans="1:7" x14ac:dyDescent="0.25">
      <c r="A203" s="256"/>
      <c r="B203" s="256"/>
      <c r="C203" s="256"/>
      <c r="D203" s="256"/>
      <c r="E203" s="256"/>
      <c r="F203" s="256"/>
      <c r="G203" s="256"/>
    </row>
    <row r="204" spans="1:7" x14ac:dyDescent="0.25">
      <c r="A204" s="256"/>
      <c r="B204" s="256"/>
      <c r="C204" s="256"/>
      <c r="D204" s="256"/>
      <c r="E204" s="256"/>
      <c r="F204" s="256"/>
      <c r="G204" s="256"/>
    </row>
    <row r="205" spans="1:7" x14ac:dyDescent="0.25">
      <c r="A205" s="256"/>
      <c r="B205" s="256"/>
      <c r="C205" s="256"/>
      <c r="D205" s="256"/>
      <c r="E205" s="256"/>
      <c r="F205" s="256"/>
      <c r="G205" s="256"/>
    </row>
  </sheetData>
  <mergeCells count="200">
    <mergeCell ref="G1:H1"/>
    <mergeCell ref="G2:H2"/>
    <mergeCell ref="G3:H3"/>
    <mergeCell ref="G5:H5"/>
    <mergeCell ref="A7:H7"/>
    <mergeCell ref="B108:B117"/>
    <mergeCell ref="C139:H139"/>
    <mergeCell ref="C142:H142"/>
    <mergeCell ref="B142:B145"/>
    <mergeCell ref="B139:B141"/>
    <mergeCell ref="C76:H76"/>
    <mergeCell ref="B76:B79"/>
    <mergeCell ref="A76:A79"/>
    <mergeCell ref="C108:H108"/>
    <mergeCell ref="C134:H134"/>
    <mergeCell ref="B134:B138"/>
    <mergeCell ref="A134:A138"/>
    <mergeCell ref="F102:G102"/>
    <mergeCell ref="F103:G103"/>
    <mergeCell ref="A15:A17"/>
    <mergeCell ref="B15:B17"/>
    <mergeCell ref="C15:C17"/>
    <mergeCell ref="D15:D16"/>
    <mergeCell ref="F15:G15"/>
    <mergeCell ref="H15:H17"/>
    <mergeCell ref="F16:G16"/>
    <mergeCell ref="F17:G17"/>
    <mergeCell ref="A8:H8"/>
    <mergeCell ref="A9:H9"/>
    <mergeCell ref="A10:H10"/>
    <mergeCell ref="A11:H11"/>
    <mergeCell ref="A13:H13"/>
    <mergeCell ref="A14:B14"/>
    <mergeCell ref="C14:H14"/>
    <mergeCell ref="A21:A23"/>
    <mergeCell ref="B21:B23"/>
    <mergeCell ref="C21:C23"/>
    <mergeCell ref="D21:D22"/>
    <mergeCell ref="F21:G21"/>
    <mergeCell ref="H21:H23"/>
    <mergeCell ref="F22:G22"/>
    <mergeCell ref="F23:G23"/>
    <mergeCell ref="A18:A20"/>
    <mergeCell ref="B18:B20"/>
    <mergeCell ref="C18:C20"/>
    <mergeCell ref="D18:D19"/>
    <mergeCell ref="F18:G18"/>
    <mergeCell ref="H18:H20"/>
    <mergeCell ref="F19:G19"/>
    <mergeCell ref="F20:G20"/>
    <mergeCell ref="C37:C38"/>
    <mergeCell ref="C39:C40"/>
    <mergeCell ref="C41:C42"/>
    <mergeCell ref="C43:C44"/>
    <mergeCell ref="C45:C46"/>
    <mergeCell ref="C47:C48"/>
    <mergeCell ref="A24:A75"/>
    <mergeCell ref="B24:B75"/>
    <mergeCell ref="C24:H24"/>
    <mergeCell ref="C25:C26"/>
    <mergeCell ref="H25:H75"/>
    <mergeCell ref="C27:C28"/>
    <mergeCell ref="C29:C30"/>
    <mergeCell ref="C31:C32"/>
    <mergeCell ref="C33:C34"/>
    <mergeCell ref="C35:C36"/>
    <mergeCell ref="C77:C79"/>
    <mergeCell ref="D77:D78"/>
    <mergeCell ref="F77:G77"/>
    <mergeCell ref="H77:H79"/>
    <mergeCell ref="F78:G78"/>
    <mergeCell ref="F79:G79"/>
    <mergeCell ref="C49:C50"/>
    <mergeCell ref="C51:C52"/>
    <mergeCell ref="C53:C54"/>
    <mergeCell ref="C55:C56"/>
    <mergeCell ref="C57:C58"/>
    <mergeCell ref="D59:E75"/>
    <mergeCell ref="A80:A88"/>
    <mergeCell ref="B80:B88"/>
    <mergeCell ref="C80:H80"/>
    <mergeCell ref="C81:C83"/>
    <mergeCell ref="D81:D83"/>
    <mergeCell ref="C84:C86"/>
    <mergeCell ref="D84:D86"/>
    <mergeCell ref="C87:C88"/>
    <mergeCell ref="D87:D88"/>
    <mergeCell ref="A89:H89"/>
    <mergeCell ref="A90:B90"/>
    <mergeCell ref="C90:H90"/>
    <mergeCell ref="A91:A93"/>
    <mergeCell ref="B91:B93"/>
    <mergeCell ref="C91:C93"/>
    <mergeCell ref="D91:D92"/>
    <mergeCell ref="F91:G91"/>
    <mergeCell ref="F92:G92"/>
    <mergeCell ref="F93:G93"/>
    <mergeCell ref="A104:A106"/>
    <mergeCell ref="B104:B106"/>
    <mergeCell ref="C104:C106"/>
    <mergeCell ref="D104:D105"/>
    <mergeCell ref="F104:G104"/>
    <mergeCell ref="F105:G105"/>
    <mergeCell ref="F106:G106"/>
    <mergeCell ref="A94:A103"/>
    <mergeCell ref="B94:B103"/>
    <mergeCell ref="C94:C103"/>
    <mergeCell ref="D94:D96"/>
    <mergeCell ref="E94:E96"/>
    <mergeCell ref="D97:D99"/>
    <mergeCell ref="E97:E99"/>
    <mergeCell ref="D100:D101"/>
    <mergeCell ref="A107:B107"/>
    <mergeCell ref="C107:H107"/>
    <mergeCell ref="A108:A117"/>
    <mergeCell ref="H109:H115"/>
    <mergeCell ref="D111:D112"/>
    <mergeCell ref="E111:E112"/>
    <mergeCell ref="D114:D115"/>
    <mergeCell ref="E114:E115"/>
    <mergeCell ref="C116:C117"/>
    <mergeCell ref="D124:D126"/>
    <mergeCell ref="E124:E126"/>
    <mergeCell ref="H124:H125"/>
    <mergeCell ref="D127:D129"/>
    <mergeCell ref="E127:E129"/>
    <mergeCell ref="H127:H128"/>
    <mergeCell ref="D116:D117"/>
    <mergeCell ref="H116:H117"/>
    <mergeCell ref="A118:A133"/>
    <mergeCell ref="B118:B133"/>
    <mergeCell ref="C118:G118"/>
    <mergeCell ref="D119:D120"/>
    <mergeCell ref="E119:E120"/>
    <mergeCell ref="D121:D123"/>
    <mergeCell ref="E121:E123"/>
    <mergeCell ref="H121:H122"/>
    <mergeCell ref="A139:A141"/>
    <mergeCell ref="A142:A145"/>
    <mergeCell ref="C144:C145"/>
    <mergeCell ref="D130:D131"/>
    <mergeCell ref="H130:H131"/>
    <mergeCell ref="C135:C138"/>
    <mergeCell ref="D137:D138"/>
    <mergeCell ref="E137:E138"/>
    <mergeCell ref="F137:F138"/>
    <mergeCell ref="G137:G138"/>
    <mergeCell ref="H137:H138"/>
    <mergeCell ref="C154:C155"/>
    <mergeCell ref="D154:D155"/>
    <mergeCell ref="H154:H155"/>
    <mergeCell ref="C156:C157"/>
    <mergeCell ref="D156:D157"/>
    <mergeCell ref="E156:E157"/>
    <mergeCell ref="F157:G157"/>
    <mergeCell ref="H144:H145"/>
    <mergeCell ref="A147:A148"/>
    <mergeCell ref="B147:B148"/>
    <mergeCell ref="A149:H149"/>
    <mergeCell ref="A150:A158"/>
    <mergeCell ref="B150:B158"/>
    <mergeCell ref="C150:C153"/>
    <mergeCell ref="D150:D153"/>
    <mergeCell ref="H150:H153"/>
    <mergeCell ref="C147:H147"/>
    <mergeCell ref="F166:G166"/>
    <mergeCell ref="F167:G167"/>
    <mergeCell ref="A168:A169"/>
    <mergeCell ref="B168:B169"/>
    <mergeCell ref="C168:C169"/>
    <mergeCell ref="D168:D169"/>
    <mergeCell ref="F168:G168"/>
    <mergeCell ref="F169:G169"/>
    <mergeCell ref="A163:B163"/>
    <mergeCell ref="C163:H163"/>
    <mergeCell ref="A164:A165"/>
    <mergeCell ref="B164:B165"/>
    <mergeCell ref="C164:C165"/>
    <mergeCell ref="D164:D165"/>
    <mergeCell ref="F164:G164"/>
    <mergeCell ref="F165:G165"/>
    <mergeCell ref="A159:A162"/>
    <mergeCell ref="B159:B162"/>
    <mergeCell ref="C159:H159"/>
    <mergeCell ref="A177:B177"/>
    <mergeCell ref="C177:H177"/>
    <mergeCell ref="A178:A179"/>
    <mergeCell ref="B178:B179"/>
    <mergeCell ref="C178:C179"/>
    <mergeCell ref="D178:D179"/>
    <mergeCell ref="H178:H179"/>
    <mergeCell ref="F170:G170"/>
    <mergeCell ref="C174:C175"/>
    <mergeCell ref="F174:G174"/>
    <mergeCell ref="A171:A172"/>
    <mergeCell ref="B171:B172"/>
    <mergeCell ref="C173:H173"/>
    <mergeCell ref="B173:B175"/>
    <mergeCell ref="A173:A175"/>
    <mergeCell ref="C171:H17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zoomScale="80" zoomScaleNormal="80" workbookViewId="0"/>
  </sheetViews>
  <sheetFormatPr defaultRowHeight="15" x14ac:dyDescent="0.25"/>
  <cols>
    <col min="1" max="1" width="5.7109375" customWidth="1"/>
    <col min="2" max="2" width="12.7109375" customWidth="1"/>
    <col min="3" max="3" width="48" customWidth="1"/>
    <col min="4" max="4" width="14.85546875" customWidth="1"/>
    <col min="5" max="5" width="14.7109375" customWidth="1"/>
    <col min="6" max="7" width="18" customWidth="1"/>
    <col min="8" max="8" width="63.140625" customWidth="1"/>
  </cols>
  <sheetData>
    <row r="1" spans="1:8" ht="15.75" x14ac:dyDescent="0.25">
      <c r="A1" s="62"/>
      <c r="B1" s="63"/>
      <c r="C1" s="62"/>
      <c r="D1" s="62"/>
      <c r="E1" s="62"/>
      <c r="F1" s="64"/>
      <c r="G1" s="285" t="s">
        <v>0</v>
      </c>
      <c r="H1" s="285"/>
    </row>
    <row r="2" spans="1:8" ht="15.75" x14ac:dyDescent="0.25">
      <c r="A2" s="62"/>
      <c r="B2" s="63"/>
      <c r="C2" s="62"/>
      <c r="D2" s="62"/>
      <c r="E2" s="62"/>
      <c r="F2" s="64"/>
      <c r="G2" s="286" t="s">
        <v>62</v>
      </c>
      <c r="H2" s="286"/>
    </row>
    <row r="3" spans="1:8" ht="15.75" x14ac:dyDescent="0.25">
      <c r="A3" s="62"/>
      <c r="B3" s="63"/>
      <c r="C3" s="62"/>
      <c r="D3" s="62"/>
      <c r="E3" s="62"/>
      <c r="F3" s="64"/>
      <c r="G3" s="287" t="s">
        <v>1</v>
      </c>
      <c r="H3" s="287"/>
    </row>
    <row r="4" spans="1:8" ht="15.75" x14ac:dyDescent="0.25">
      <c r="A4" s="62"/>
      <c r="B4" s="63"/>
      <c r="C4" s="62"/>
      <c r="D4" s="62"/>
      <c r="E4" s="62"/>
      <c r="F4" s="64"/>
      <c r="G4" s="288"/>
      <c r="H4" s="288"/>
    </row>
    <row r="5" spans="1:8" ht="15.75" x14ac:dyDescent="0.25">
      <c r="A5" s="62"/>
      <c r="B5" s="63"/>
      <c r="C5" s="62"/>
      <c r="D5" s="62"/>
      <c r="E5" s="67"/>
      <c r="F5" s="67"/>
      <c r="G5" s="275" t="s">
        <v>666</v>
      </c>
      <c r="H5" s="275"/>
    </row>
    <row r="6" spans="1:8" ht="15.75" x14ac:dyDescent="0.25">
      <c r="A6" s="62"/>
      <c r="B6" s="63"/>
      <c r="C6" s="62"/>
      <c r="D6" s="62"/>
      <c r="E6" s="67"/>
      <c r="F6" s="67"/>
      <c r="G6" s="69"/>
      <c r="H6" s="68"/>
    </row>
    <row r="7" spans="1:8" ht="15.75" x14ac:dyDescent="0.25">
      <c r="A7" s="284" t="s">
        <v>10</v>
      </c>
      <c r="B7" s="284"/>
      <c r="C7" s="284"/>
      <c r="D7" s="284"/>
      <c r="E7" s="284"/>
      <c r="F7" s="284"/>
      <c r="G7" s="284"/>
      <c r="H7" s="284"/>
    </row>
    <row r="8" spans="1:8" ht="15.75" x14ac:dyDescent="0.25">
      <c r="A8" s="284" t="s">
        <v>104</v>
      </c>
      <c r="B8" s="284"/>
      <c r="C8" s="284"/>
      <c r="D8" s="284"/>
      <c r="E8" s="284"/>
      <c r="F8" s="284"/>
      <c r="G8" s="284"/>
      <c r="H8" s="284"/>
    </row>
    <row r="9" spans="1:8" ht="15.75" x14ac:dyDescent="0.25">
      <c r="A9" s="284" t="s">
        <v>105</v>
      </c>
      <c r="B9" s="284"/>
      <c r="C9" s="284"/>
      <c r="D9" s="284"/>
      <c r="E9" s="284"/>
      <c r="F9" s="284"/>
      <c r="G9" s="284"/>
      <c r="H9" s="284"/>
    </row>
    <row r="10" spans="1:8" ht="15.75" x14ac:dyDescent="0.25">
      <c r="A10" s="270" t="s">
        <v>647</v>
      </c>
      <c r="B10" s="270"/>
      <c r="C10" s="270"/>
      <c r="D10" s="270"/>
      <c r="E10" s="270"/>
      <c r="F10" s="270"/>
      <c r="G10" s="270"/>
      <c r="H10" s="270"/>
    </row>
    <row r="11" spans="1:8" ht="15.75" x14ac:dyDescent="0.25">
      <c r="A11" s="70"/>
      <c r="B11" s="70"/>
      <c r="C11" s="70"/>
      <c r="D11" s="70"/>
      <c r="E11" s="70"/>
      <c r="F11" s="70"/>
      <c r="G11" s="70"/>
      <c r="H11" s="70"/>
    </row>
    <row r="12" spans="1:8" s="506" customFormat="1" ht="47.25" x14ac:dyDescent="0.25">
      <c r="A12" s="72" t="s">
        <v>4</v>
      </c>
      <c r="B12" s="35" t="s">
        <v>7</v>
      </c>
      <c r="C12" s="72" t="s">
        <v>5</v>
      </c>
      <c r="D12" s="72" t="s">
        <v>6</v>
      </c>
      <c r="E12" s="72" t="s">
        <v>8</v>
      </c>
      <c r="F12" s="73" t="s">
        <v>200</v>
      </c>
      <c r="G12" s="74" t="s">
        <v>201</v>
      </c>
      <c r="H12" s="72" t="s">
        <v>9</v>
      </c>
    </row>
    <row r="13" spans="1:8" s="506" customFormat="1" ht="15.75" x14ac:dyDescent="0.25">
      <c r="A13" s="262" t="s">
        <v>19</v>
      </c>
      <c r="B13" s="262"/>
      <c r="C13" s="262"/>
      <c r="D13" s="262"/>
      <c r="E13" s="262"/>
      <c r="F13" s="262"/>
      <c r="G13" s="262"/>
      <c r="H13" s="262"/>
    </row>
    <row r="14" spans="1:8" s="506" customFormat="1" ht="15.75" x14ac:dyDescent="0.25">
      <c r="A14" s="258" t="s">
        <v>20</v>
      </c>
      <c r="B14" s="258"/>
      <c r="C14" s="262" t="s">
        <v>21</v>
      </c>
      <c r="D14" s="262"/>
      <c r="E14" s="262"/>
      <c r="F14" s="262"/>
      <c r="G14" s="262"/>
      <c r="H14" s="262"/>
    </row>
    <row r="15" spans="1:8" s="506" customFormat="1" ht="15.75" x14ac:dyDescent="0.25">
      <c r="A15" s="269">
        <v>1</v>
      </c>
      <c r="B15" s="258" t="s">
        <v>22</v>
      </c>
      <c r="C15" s="269" t="s">
        <v>57</v>
      </c>
      <c r="D15" s="269" t="s">
        <v>11</v>
      </c>
      <c r="E15" s="156" t="s">
        <v>12</v>
      </c>
      <c r="F15" s="277" t="s">
        <v>107</v>
      </c>
      <c r="G15" s="277"/>
      <c r="H15" s="269"/>
    </row>
    <row r="16" spans="1:8" s="506" customFormat="1" ht="31.5" x14ac:dyDescent="0.25">
      <c r="A16" s="269"/>
      <c r="B16" s="258"/>
      <c r="C16" s="269"/>
      <c r="D16" s="269"/>
      <c r="E16" s="155" t="s">
        <v>206</v>
      </c>
      <c r="F16" s="277" t="s">
        <v>107</v>
      </c>
      <c r="G16" s="277"/>
      <c r="H16" s="269"/>
    </row>
    <row r="17" spans="1:8" s="506" customFormat="1" ht="15.75" x14ac:dyDescent="0.25">
      <c r="A17" s="269"/>
      <c r="B17" s="258"/>
      <c r="C17" s="269"/>
      <c r="D17" s="39" t="s">
        <v>2</v>
      </c>
      <c r="E17" s="156"/>
      <c r="F17" s="277" t="s">
        <v>107</v>
      </c>
      <c r="G17" s="277"/>
      <c r="H17" s="269"/>
    </row>
    <row r="18" spans="1:8" s="506" customFormat="1" ht="15.75" x14ac:dyDescent="0.25">
      <c r="A18" s="262" t="s">
        <v>108</v>
      </c>
      <c r="B18" s="262"/>
      <c r="C18" s="258" t="s">
        <v>109</v>
      </c>
      <c r="D18" s="258"/>
      <c r="E18" s="258"/>
      <c r="F18" s="258"/>
      <c r="G18" s="258"/>
      <c r="H18" s="258"/>
    </row>
    <row r="19" spans="1:8" s="506" customFormat="1" ht="15.75" x14ac:dyDescent="0.25">
      <c r="A19" s="257">
        <v>2</v>
      </c>
      <c r="B19" s="258" t="s">
        <v>23</v>
      </c>
      <c r="C19" s="269" t="s">
        <v>110</v>
      </c>
      <c r="D19" s="269" t="s">
        <v>11</v>
      </c>
      <c r="E19" s="156" t="s">
        <v>12</v>
      </c>
      <c r="F19" s="277" t="s">
        <v>107</v>
      </c>
      <c r="G19" s="277"/>
      <c r="H19" s="432"/>
    </row>
    <row r="20" spans="1:8" s="506" customFormat="1" ht="31.5" x14ac:dyDescent="0.25">
      <c r="A20" s="257"/>
      <c r="B20" s="258"/>
      <c r="C20" s="269"/>
      <c r="D20" s="269"/>
      <c r="E20" s="155" t="s">
        <v>206</v>
      </c>
      <c r="F20" s="277" t="s">
        <v>107</v>
      </c>
      <c r="G20" s="277"/>
      <c r="H20" s="433"/>
    </row>
    <row r="21" spans="1:8" s="506" customFormat="1" ht="15.75" x14ac:dyDescent="0.25">
      <c r="A21" s="257"/>
      <c r="B21" s="258"/>
      <c r="C21" s="269"/>
      <c r="D21" s="39" t="s">
        <v>2</v>
      </c>
      <c r="E21" s="156"/>
      <c r="F21" s="277" t="s">
        <v>107</v>
      </c>
      <c r="G21" s="277"/>
      <c r="H21" s="434"/>
    </row>
    <row r="22" spans="1:8" s="506" customFormat="1" ht="15.75" x14ac:dyDescent="0.25">
      <c r="A22" s="257">
        <v>3</v>
      </c>
      <c r="B22" s="258" t="s">
        <v>24</v>
      </c>
      <c r="C22" s="269" t="s">
        <v>50</v>
      </c>
      <c r="D22" s="269" t="s">
        <v>11</v>
      </c>
      <c r="E22" s="156" t="s">
        <v>12</v>
      </c>
      <c r="F22" s="277" t="s">
        <v>107</v>
      </c>
      <c r="G22" s="277"/>
      <c r="H22" s="432"/>
    </row>
    <row r="23" spans="1:8" s="506" customFormat="1" ht="31.5" x14ac:dyDescent="0.25">
      <c r="A23" s="257"/>
      <c r="B23" s="258"/>
      <c r="C23" s="269"/>
      <c r="D23" s="269"/>
      <c r="E23" s="155" t="s">
        <v>206</v>
      </c>
      <c r="F23" s="277" t="s">
        <v>107</v>
      </c>
      <c r="G23" s="277"/>
      <c r="H23" s="433"/>
    </row>
    <row r="24" spans="1:8" s="506" customFormat="1" ht="15.75" x14ac:dyDescent="0.25">
      <c r="A24" s="257"/>
      <c r="B24" s="258"/>
      <c r="C24" s="269"/>
      <c r="D24" s="39" t="s">
        <v>2</v>
      </c>
      <c r="E24" s="156"/>
      <c r="F24" s="277" t="s">
        <v>107</v>
      </c>
      <c r="G24" s="277"/>
      <c r="H24" s="434"/>
    </row>
    <row r="25" spans="1:8" s="506" customFormat="1" ht="15.75" x14ac:dyDescent="0.25">
      <c r="A25" s="435">
        <v>4</v>
      </c>
      <c r="B25" s="258" t="s">
        <v>111</v>
      </c>
      <c r="C25" s="258" t="s">
        <v>25</v>
      </c>
      <c r="D25" s="258"/>
      <c r="E25" s="307"/>
      <c r="F25" s="307"/>
      <c r="G25" s="307"/>
      <c r="H25" s="258"/>
    </row>
    <row r="26" spans="1:8" s="506" customFormat="1" ht="15.75" x14ac:dyDescent="0.25">
      <c r="A26" s="436"/>
      <c r="B26" s="258"/>
      <c r="C26" s="372" t="s">
        <v>112</v>
      </c>
      <c r="D26" s="261" t="s">
        <v>11</v>
      </c>
      <c r="E26" s="156" t="s">
        <v>12</v>
      </c>
      <c r="F26" s="136">
        <v>7588</v>
      </c>
      <c r="G26" s="78">
        <f>F26*1.2</f>
        <v>9105.6</v>
      </c>
      <c r="H26" s="437" t="s">
        <v>113</v>
      </c>
    </row>
    <row r="27" spans="1:8" s="506" customFormat="1" ht="15.75" x14ac:dyDescent="0.25">
      <c r="A27" s="436"/>
      <c r="B27" s="258"/>
      <c r="C27" s="330"/>
      <c r="D27" s="261"/>
      <c r="E27" s="156" t="s">
        <v>13</v>
      </c>
      <c r="F27" s="136">
        <v>9885</v>
      </c>
      <c r="G27" s="78">
        <f t="shared" ref="G27:G71" si="0">F27*1.2</f>
        <v>11862</v>
      </c>
      <c r="H27" s="438"/>
    </row>
    <row r="28" spans="1:8" s="506" customFormat="1" ht="15.75" x14ac:dyDescent="0.25">
      <c r="A28" s="436"/>
      <c r="B28" s="258"/>
      <c r="C28" s="372" t="s">
        <v>114</v>
      </c>
      <c r="D28" s="261" t="s">
        <v>11</v>
      </c>
      <c r="E28" s="156" t="s">
        <v>12</v>
      </c>
      <c r="F28" s="136">
        <v>9580</v>
      </c>
      <c r="G28" s="78">
        <f t="shared" si="0"/>
        <v>11496</v>
      </c>
      <c r="H28" s="438"/>
    </row>
    <row r="29" spans="1:8" s="506" customFormat="1" ht="15.75" x14ac:dyDescent="0.25">
      <c r="A29" s="436"/>
      <c r="B29" s="258"/>
      <c r="C29" s="330"/>
      <c r="D29" s="261"/>
      <c r="E29" s="156" t="s">
        <v>13</v>
      </c>
      <c r="F29" s="136">
        <v>11662</v>
      </c>
      <c r="G29" s="78">
        <f t="shared" si="0"/>
        <v>13994.4</v>
      </c>
      <c r="H29" s="438"/>
    </row>
    <row r="30" spans="1:8" s="506" customFormat="1" ht="15.75" x14ac:dyDescent="0.25">
      <c r="A30" s="436"/>
      <c r="B30" s="258"/>
      <c r="C30" s="372" t="s">
        <v>115</v>
      </c>
      <c r="D30" s="261" t="s">
        <v>11</v>
      </c>
      <c r="E30" s="156" t="s">
        <v>12</v>
      </c>
      <c r="F30" s="136">
        <v>11550</v>
      </c>
      <c r="G30" s="78">
        <f t="shared" si="0"/>
        <v>13860</v>
      </c>
      <c r="H30" s="438"/>
    </row>
    <row r="31" spans="1:8" s="506" customFormat="1" ht="15.75" x14ac:dyDescent="0.25">
      <c r="A31" s="436"/>
      <c r="B31" s="258"/>
      <c r="C31" s="330"/>
      <c r="D31" s="261"/>
      <c r="E31" s="156" t="s">
        <v>13</v>
      </c>
      <c r="F31" s="136">
        <v>13358</v>
      </c>
      <c r="G31" s="78">
        <f t="shared" si="0"/>
        <v>16029.599999999999</v>
      </c>
      <c r="H31" s="438"/>
    </row>
    <row r="32" spans="1:8" s="506" customFormat="1" ht="15.75" x14ac:dyDescent="0.25">
      <c r="A32" s="436"/>
      <c r="B32" s="258"/>
      <c r="C32" s="260" t="s">
        <v>116</v>
      </c>
      <c r="D32" s="261" t="s">
        <v>11</v>
      </c>
      <c r="E32" s="156" t="s">
        <v>12</v>
      </c>
      <c r="F32" s="136">
        <v>13114</v>
      </c>
      <c r="G32" s="78">
        <f t="shared" si="0"/>
        <v>15736.8</v>
      </c>
      <c r="H32" s="438"/>
    </row>
    <row r="33" spans="1:8" s="506" customFormat="1" ht="15.75" x14ac:dyDescent="0.25">
      <c r="A33" s="436"/>
      <c r="B33" s="258"/>
      <c r="C33" s="260"/>
      <c r="D33" s="261"/>
      <c r="E33" s="156" t="s">
        <v>13</v>
      </c>
      <c r="F33" s="136">
        <v>15608</v>
      </c>
      <c r="G33" s="78">
        <f t="shared" si="0"/>
        <v>18729.599999999999</v>
      </c>
      <c r="H33" s="438"/>
    </row>
    <row r="34" spans="1:8" s="506" customFormat="1" ht="15.75" x14ac:dyDescent="0.25">
      <c r="A34" s="436"/>
      <c r="B34" s="258"/>
      <c r="C34" s="260" t="s">
        <v>117</v>
      </c>
      <c r="D34" s="261" t="s">
        <v>11</v>
      </c>
      <c r="E34" s="156" t="s">
        <v>12</v>
      </c>
      <c r="F34" s="136">
        <v>15187</v>
      </c>
      <c r="G34" s="78">
        <f t="shared" si="0"/>
        <v>18224.399999999998</v>
      </c>
      <c r="H34" s="438"/>
    </row>
    <row r="35" spans="1:8" s="506" customFormat="1" ht="15.75" x14ac:dyDescent="0.25">
      <c r="A35" s="436"/>
      <c r="B35" s="258"/>
      <c r="C35" s="260"/>
      <c r="D35" s="261"/>
      <c r="E35" s="156" t="s">
        <v>13</v>
      </c>
      <c r="F35" s="136">
        <v>18880</v>
      </c>
      <c r="G35" s="78">
        <f t="shared" si="0"/>
        <v>22656</v>
      </c>
      <c r="H35" s="438"/>
    </row>
    <row r="36" spans="1:8" s="506" customFormat="1" ht="15.75" x14ac:dyDescent="0.25">
      <c r="A36" s="436"/>
      <c r="B36" s="258"/>
      <c r="C36" s="260" t="s">
        <v>118</v>
      </c>
      <c r="D36" s="261" t="s">
        <v>11</v>
      </c>
      <c r="E36" s="156" t="s">
        <v>12</v>
      </c>
      <c r="F36" s="136">
        <v>16872</v>
      </c>
      <c r="G36" s="78">
        <f t="shared" si="0"/>
        <v>20246.399999999998</v>
      </c>
      <c r="H36" s="438"/>
    </row>
    <row r="37" spans="1:8" s="506" customFormat="1" ht="15.75" x14ac:dyDescent="0.25">
      <c r="A37" s="436"/>
      <c r="B37" s="258"/>
      <c r="C37" s="260"/>
      <c r="D37" s="261"/>
      <c r="E37" s="156" t="s">
        <v>13</v>
      </c>
      <c r="F37" s="136">
        <v>21845</v>
      </c>
      <c r="G37" s="78">
        <f t="shared" si="0"/>
        <v>26214</v>
      </c>
      <c r="H37" s="438"/>
    </row>
    <row r="38" spans="1:8" s="506" customFormat="1" ht="15.75" x14ac:dyDescent="0.25">
      <c r="A38" s="436"/>
      <c r="B38" s="258"/>
      <c r="C38" s="260" t="s">
        <v>119</v>
      </c>
      <c r="D38" s="261" t="s">
        <v>11</v>
      </c>
      <c r="E38" s="156" t="s">
        <v>12</v>
      </c>
      <c r="F38" s="136">
        <v>20408</v>
      </c>
      <c r="G38" s="78">
        <f t="shared" si="0"/>
        <v>24489.599999999999</v>
      </c>
      <c r="H38" s="438"/>
    </row>
    <row r="39" spans="1:8" s="506" customFormat="1" ht="15.75" x14ac:dyDescent="0.25">
      <c r="A39" s="436"/>
      <c r="B39" s="258"/>
      <c r="C39" s="260"/>
      <c r="D39" s="261"/>
      <c r="E39" s="156" t="s">
        <v>13</v>
      </c>
      <c r="F39" s="136">
        <v>23690</v>
      </c>
      <c r="G39" s="78">
        <f t="shared" si="0"/>
        <v>28428</v>
      </c>
      <c r="H39" s="438"/>
    </row>
    <row r="40" spans="1:8" s="506" customFormat="1" ht="15.75" x14ac:dyDescent="0.25">
      <c r="A40" s="436"/>
      <c r="B40" s="258"/>
      <c r="C40" s="260" t="s">
        <v>120</v>
      </c>
      <c r="D40" s="261" t="s">
        <v>11</v>
      </c>
      <c r="E40" s="156" t="s">
        <v>12</v>
      </c>
      <c r="F40" s="136">
        <v>27214</v>
      </c>
      <c r="G40" s="78">
        <f t="shared" si="0"/>
        <v>32656.799999999999</v>
      </c>
      <c r="H40" s="438"/>
    </row>
    <row r="41" spans="1:8" s="506" customFormat="1" ht="15.75" x14ac:dyDescent="0.25">
      <c r="A41" s="436"/>
      <c r="B41" s="258"/>
      <c r="C41" s="260"/>
      <c r="D41" s="261"/>
      <c r="E41" s="156" t="s">
        <v>13</v>
      </c>
      <c r="F41" s="136">
        <v>30938</v>
      </c>
      <c r="G41" s="78">
        <f t="shared" si="0"/>
        <v>37125.599999999999</v>
      </c>
      <c r="H41" s="438"/>
    </row>
    <row r="42" spans="1:8" s="506" customFormat="1" ht="15.75" x14ac:dyDescent="0.25">
      <c r="A42" s="436"/>
      <c r="B42" s="258"/>
      <c r="C42" s="260" t="s">
        <v>121</v>
      </c>
      <c r="D42" s="261" t="s">
        <v>11</v>
      </c>
      <c r="E42" s="156" t="s">
        <v>12</v>
      </c>
      <c r="F42" s="136">
        <v>38719</v>
      </c>
      <c r="G42" s="78">
        <f t="shared" si="0"/>
        <v>46462.799999999996</v>
      </c>
      <c r="H42" s="438"/>
    </row>
    <row r="43" spans="1:8" s="506" customFormat="1" ht="15.75" x14ac:dyDescent="0.25">
      <c r="A43" s="436"/>
      <c r="B43" s="258"/>
      <c r="C43" s="260"/>
      <c r="D43" s="261"/>
      <c r="E43" s="156" t="s">
        <v>13</v>
      </c>
      <c r="F43" s="136">
        <v>41622</v>
      </c>
      <c r="G43" s="78">
        <f t="shared" si="0"/>
        <v>49946.400000000001</v>
      </c>
      <c r="H43" s="438"/>
    </row>
    <row r="44" spans="1:8" s="506" customFormat="1" ht="15.75" x14ac:dyDescent="0.25">
      <c r="A44" s="436"/>
      <c r="B44" s="258"/>
      <c r="C44" s="260" t="s">
        <v>122</v>
      </c>
      <c r="D44" s="261" t="s">
        <v>11</v>
      </c>
      <c r="E44" s="156" t="s">
        <v>12</v>
      </c>
      <c r="F44" s="136">
        <v>46994</v>
      </c>
      <c r="G44" s="78">
        <f t="shared" si="0"/>
        <v>56392.799999999996</v>
      </c>
      <c r="H44" s="438"/>
    </row>
    <row r="45" spans="1:8" s="506" customFormat="1" ht="15.75" x14ac:dyDescent="0.25">
      <c r="A45" s="436"/>
      <c r="B45" s="258"/>
      <c r="C45" s="260"/>
      <c r="D45" s="261"/>
      <c r="E45" s="156" t="s">
        <v>13</v>
      </c>
      <c r="F45" s="136">
        <v>56915</v>
      </c>
      <c r="G45" s="78">
        <f t="shared" si="0"/>
        <v>68298</v>
      </c>
      <c r="H45" s="438"/>
    </row>
    <row r="46" spans="1:8" s="506" customFormat="1" ht="15.75" x14ac:dyDescent="0.25">
      <c r="A46" s="436"/>
      <c r="B46" s="258"/>
      <c r="C46" s="260" t="s">
        <v>123</v>
      </c>
      <c r="D46" s="261" t="s">
        <v>11</v>
      </c>
      <c r="E46" s="156" t="s">
        <v>12</v>
      </c>
      <c r="F46" s="136">
        <v>55503</v>
      </c>
      <c r="G46" s="78">
        <f t="shared" si="0"/>
        <v>66603.599999999991</v>
      </c>
      <c r="H46" s="438"/>
    </row>
    <row r="47" spans="1:8" s="506" customFormat="1" ht="15.75" x14ac:dyDescent="0.25">
      <c r="A47" s="436"/>
      <c r="B47" s="258"/>
      <c r="C47" s="260"/>
      <c r="D47" s="261"/>
      <c r="E47" s="156" t="s">
        <v>13</v>
      </c>
      <c r="F47" s="136">
        <v>64001</v>
      </c>
      <c r="G47" s="78">
        <f t="shared" si="0"/>
        <v>76801.2</v>
      </c>
      <c r="H47" s="438"/>
    </row>
    <row r="48" spans="1:8" s="506" customFormat="1" ht="15.75" x14ac:dyDescent="0.25">
      <c r="A48" s="436"/>
      <c r="B48" s="258"/>
      <c r="C48" s="260" t="s">
        <v>124</v>
      </c>
      <c r="D48" s="261" t="s">
        <v>11</v>
      </c>
      <c r="E48" s="156" t="s">
        <v>12</v>
      </c>
      <c r="F48" s="136">
        <v>65748</v>
      </c>
      <c r="G48" s="78">
        <f t="shared" si="0"/>
        <v>78897.599999999991</v>
      </c>
      <c r="H48" s="438"/>
    </row>
    <row r="49" spans="1:8" s="506" customFormat="1" ht="15.75" x14ac:dyDescent="0.25">
      <c r="A49" s="436"/>
      <c r="B49" s="258"/>
      <c r="C49" s="260"/>
      <c r="D49" s="261"/>
      <c r="E49" s="156" t="s">
        <v>13</v>
      </c>
      <c r="F49" s="136">
        <v>72031</v>
      </c>
      <c r="G49" s="78">
        <f t="shared" si="0"/>
        <v>86437.2</v>
      </c>
      <c r="H49" s="438"/>
    </row>
    <row r="50" spans="1:8" s="506" customFormat="1" ht="15.75" x14ac:dyDescent="0.25">
      <c r="A50" s="436"/>
      <c r="B50" s="258"/>
      <c r="C50" s="260" t="s">
        <v>125</v>
      </c>
      <c r="D50" s="261" t="s">
        <v>11</v>
      </c>
      <c r="E50" s="156" t="s">
        <v>12</v>
      </c>
      <c r="F50" s="136">
        <v>75723</v>
      </c>
      <c r="G50" s="78">
        <f t="shared" si="0"/>
        <v>90867.599999999991</v>
      </c>
      <c r="H50" s="438"/>
    </row>
    <row r="51" spans="1:8" s="506" customFormat="1" ht="15.75" x14ac:dyDescent="0.25">
      <c r="A51" s="436"/>
      <c r="B51" s="258"/>
      <c r="C51" s="260"/>
      <c r="D51" s="261"/>
      <c r="E51" s="156" t="s">
        <v>13</v>
      </c>
      <c r="F51" s="136">
        <v>80330</v>
      </c>
      <c r="G51" s="78">
        <f t="shared" si="0"/>
        <v>96396</v>
      </c>
      <c r="H51" s="438"/>
    </row>
    <row r="52" spans="1:8" s="506" customFormat="1" ht="15.75" x14ac:dyDescent="0.25">
      <c r="A52" s="436"/>
      <c r="B52" s="258"/>
      <c r="C52" s="260" t="s">
        <v>126</v>
      </c>
      <c r="D52" s="261" t="s">
        <v>11</v>
      </c>
      <c r="E52" s="156" t="s">
        <v>12</v>
      </c>
      <c r="F52" s="136">
        <v>80952</v>
      </c>
      <c r="G52" s="78">
        <f t="shared" si="0"/>
        <v>97142.399999999994</v>
      </c>
      <c r="H52" s="438"/>
    </row>
    <row r="53" spans="1:8" s="506" customFormat="1" ht="15.75" x14ac:dyDescent="0.25">
      <c r="A53" s="436"/>
      <c r="B53" s="258"/>
      <c r="C53" s="260"/>
      <c r="D53" s="261"/>
      <c r="E53" s="156" t="s">
        <v>13</v>
      </c>
      <c r="F53" s="136">
        <v>82490</v>
      </c>
      <c r="G53" s="78">
        <f t="shared" si="0"/>
        <v>98988</v>
      </c>
      <c r="H53" s="439"/>
    </row>
    <row r="54" spans="1:8" s="506" customFormat="1" ht="15.75" x14ac:dyDescent="0.25">
      <c r="A54" s="436"/>
      <c r="B54" s="258"/>
      <c r="C54" s="260" t="s">
        <v>127</v>
      </c>
      <c r="D54" s="261" t="s">
        <v>11</v>
      </c>
      <c r="E54" s="156" t="s">
        <v>12</v>
      </c>
      <c r="F54" s="136">
        <v>3632</v>
      </c>
      <c r="G54" s="78">
        <f t="shared" si="0"/>
        <v>4358.3999999999996</v>
      </c>
      <c r="H54" s="437" t="s">
        <v>128</v>
      </c>
    </row>
    <row r="55" spans="1:8" s="506" customFormat="1" ht="15.75" x14ac:dyDescent="0.25">
      <c r="A55" s="436"/>
      <c r="B55" s="258"/>
      <c r="C55" s="260"/>
      <c r="D55" s="261"/>
      <c r="E55" s="156" t="s">
        <v>13</v>
      </c>
      <c r="F55" s="136">
        <v>4316</v>
      </c>
      <c r="G55" s="78">
        <f t="shared" si="0"/>
        <v>5179.2</v>
      </c>
      <c r="H55" s="439"/>
    </row>
    <row r="56" spans="1:8" s="506" customFormat="1" ht="15.75" x14ac:dyDescent="0.25">
      <c r="A56" s="436"/>
      <c r="B56" s="258"/>
      <c r="C56" s="79" t="s">
        <v>129</v>
      </c>
      <c r="D56" s="77" t="s">
        <v>11</v>
      </c>
      <c r="E56" s="156" t="s">
        <v>12</v>
      </c>
      <c r="F56" s="136">
        <v>1165</v>
      </c>
      <c r="G56" s="78">
        <f t="shared" si="0"/>
        <v>1398</v>
      </c>
      <c r="H56" s="437" t="s">
        <v>130</v>
      </c>
    </row>
    <row r="57" spans="1:8" s="506" customFormat="1" ht="15.75" x14ac:dyDescent="0.25">
      <c r="A57" s="440"/>
      <c r="B57" s="258"/>
      <c r="C57" s="79" t="s">
        <v>129</v>
      </c>
      <c r="D57" s="77" t="s">
        <v>11</v>
      </c>
      <c r="E57" s="156" t="s">
        <v>13</v>
      </c>
      <c r="F57" s="136">
        <v>2139</v>
      </c>
      <c r="G57" s="78">
        <f t="shared" si="0"/>
        <v>2566.7999999999997</v>
      </c>
      <c r="H57" s="439"/>
    </row>
    <row r="58" spans="1:8" s="506" customFormat="1" ht="15.75" x14ac:dyDescent="0.25">
      <c r="A58" s="435">
        <v>5</v>
      </c>
      <c r="B58" s="258" t="s">
        <v>33</v>
      </c>
      <c r="C58" s="443" t="s">
        <v>131</v>
      </c>
      <c r="D58" s="444"/>
      <c r="E58" s="271"/>
      <c r="F58" s="271"/>
      <c r="G58" s="271"/>
      <c r="H58" s="445"/>
    </row>
    <row r="59" spans="1:8" s="506" customFormat="1" ht="15.75" x14ac:dyDescent="0.25">
      <c r="A59" s="436"/>
      <c r="B59" s="258"/>
      <c r="C59" s="260" t="s">
        <v>34</v>
      </c>
      <c r="D59" s="432" t="s">
        <v>11</v>
      </c>
      <c r="E59" s="156" t="s">
        <v>12</v>
      </c>
      <c r="F59" s="446" t="s">
        <v>107</v>
      </c>
      <c r="G59" s="447"/>
      <c r="H59" s="39"/>
    </row>
    <row r="60" spans="1:8" s="506" customFormat="1" ht="31.5" x14ac:dyDescent="0.25">
      <c r="A60" s="436"/>
      <c r="B60" s="258"/>
      <c r="C60" s="260"/>
      <c r="D60" s="434"/>
      <c r="E60" s="155" t="s">
        <v>206</v>
      </c>
      <c r="F60" s="448" t="s">
        <v>107</v>
      </c>
      <c r="G60" s="449"/>
      <c r="H60" s="39"/>
    </row>
    <row r="61" spans="1:8" s="506" customFormat="1" ht="15.75" x14ac:dyDescent="0.25">
      <c r="A61" s="440"/>
      <c r="B61" s="258"/>
      <c r="C61" s="260"/>
      <c r="D61" s="39" t="s">
        <v>2</v>
      </c>
      <c r="E61" s="156"/>
      <c r="F61" s="448" t="s">
        <v>107</v>
      </c>
      <c r="G61" s="449"/>
      <c r="H61" s="39"/>
    </row>
    <row r="62" spans="1:8" s="506" customFormat="1" ht="15.75" x14ac:dyDescent="0.25">
      <c r="A62" s="435">
        <v>6</v>
      </c>
      <c r="B62" s="258" t="s">
        <v>133</v>
      </c>
      <c r="C62" s="443" t="s">
        <v>132</v>
      </c>
      <c r="D62" s="450"/>
      <c r="E62" s="450"/>
      <c r="F62" s="450"/>
      <c r="G62" s="450"/>
      <c r="H62" s="451"/>
    </row>
    <row r="63" spans="1:8" s="506" customFormat="1" ht="31.5" x14ac:dyDescent="0.25">
      <c r="A63" s="436"/>
      <c r="B63" s="258"/>
      <c r="C63" s="372" t="s">
        <v>132</v>
      </c>
      <c r="D63" s="452" t="s">
        <v>11</v>
      </c>
      <c r="E63" s="508" t="s">
        <v>656</v>
      </c>
      <c r="F63" s="81">
        <f>F89*2+F93*2</f>
        <v>5860</v>
      </c>
      <c r="G63" s="78">
        <f t="shared" si="0"/>
        <v>7032</v>
      </c>
      <c r="H63" s="454"/>
    </row>
    <row r="64" spans="1:8" s="506" customFormat="1" ht="15.75" x14ac:dyDescent="0.25">
      <c r="A64" s="436"/>
      <c r="B64" s="258"/>
      <c r="C64" s="352"/>
      <c r="D64" s="456"/>
      <c r="E64" s="453" t="s">
        <v>12</v>
      </c>
      <c r="F64" s="81">
        <f>F90*2+F94*2</f>
        <v>9032</v>
      </c>
      <c r="G64" s="78">
        <f t="shared" si="0"/>
        <v>10838.4</v>
      </c>
      <c r="H64" s="457" t="s">
        <v>134</v>
      </c>
    </row>
    <row r="65" spans="1:8" s="506" customFormat="1" ht="15.75" x14ac:dyDescent="0.25">
      <c r="A65" s="436"/>
      <c r="B65" s="258"/>
      <c r="C65" s="352"/>
      <c r="D65" s="456"/>
      <c r="E65" s="453" t="s">
        <v>12</v>
      </c>
      <c r="F65" s="81">
        <f>F91*2+F94*2</f>
        <v>10304</v>
      </c>
      <c r="G65" s="78">
        <f t="shared" si="0"/>
        <v>12364.8</v>
      </c>
      <c r="H65" s="457" t="s">
        <v>135</v>
      </c>
    </row>
    <row r="66" spans="1:8" s="506" customFormat="1" ht="31.5" x14ac:dyDescent="0.25">
      <c r="A66" s="436"/>
      <c r="B66" s="258"/>
      <c r="C66" s="352"/>
      <c r="D66" s="456"/>
      <c r="E66" s="508" t="s">
        <v>206</v>
      </c>
      <c r="F66" s="81">
        <f>F92*2+F95*2</f>
        <v>11258</v>
      </c>
      <c r="G66" s="78">
        <f t="shared" si="0"/>
        <v>13509.6</v>
      </c>
      <c r="H66" s="457"/>
    </row>
    <row r="67" spans="1:8" s="506" customFormat="1" ht="15.75" x14ac:dyDescent="0.25">
      <c r="A67" s="436"/>
      <c r="B67" s="258"/>
      <c r="C67" s="352"/>
      <c r="D67" s="456"/>
      <c r="E67" s="453" t="s">
        <v>12</v>
      </c>
      <c r="F67" s="81">
        <f>F90*2</f>
        <v>5162</v>
      </c>
      <c r="G67" s="78">
        <f t="shared" si="0"/>
        <v>6194.4</v>
      </c>
      <c r="H67" s="457" t="s">
        <v>136</v>
      </c>
    </row>
    <row r="68" spans="1:8" s="506" customFormat="1" ht="15.75" x14ac:dyDescent="0.25">
      <c r="A68" s="436"/>
      <c r="B68" s="258"/>
      <c r="C68" s="352"/>
      <c r="D68" s="456"/>
      <c r="E68" s="453" t="s">
        <v>12</v>
      </c>
      <c r="F68" s="81">
        <f>F91*2</f>
        <v>6434</v>
      </c>
      <c r="G68" s="78">
        <f t="shared" si="0"/>
        <v>7720.7999999999993</v>
      </c>
      <c r="H68" s="457" t="s">
        <v>137</v>
      </c>
    </row>
    <row r="69" spans="1:8" s="506" customFormat="1" ht="31.5" x14ac:dyDescent="0.25">
      <c r="A69" s="436"/>
      <c r="B69" s="258"/>
      <c r="C69" s="352"/>
      <c r="D69" s="456"/>
      <c r="E69" s="508" t="s">
        <v>206</v>
      </c>
      <c r="F69" s="81">
        <f>F92*2</f>
        <v>6434</v>
      </c>
      <c r="G69" s="78">
        <f t="shared" si="0"/>
        <v>7720.7999999999993</v>
      </c>
      <c r="H69" s="457" t="s">
        <v>138</v>
      </c>
    </row>
    <row r="70" spans="1:8" s="506" customFormat="1" ht="15.75" x14ac:dyDescent="0.25">
      <c r="A70" s="436"/>
      <c r="B70" s="258"/>
      <c r="C70" s="352"/>
      <c r="D70" s="456"/>
      <c r="E70" s="453" t="s">
        <v>12</v>
      </c>
      <c r="F70" s="81">
        <f>F94*2</f>
        <v>3870</v>
      </c>
      <c r="G70" s="78">
        <f t="shared" si="0"/>
        <v>4644</v>
      </c>
      <c r="H70" s="457" t="s">
        <v>139</v>
      </c>
    </row>
    <row r="71" spans="1:8" s="506" customFormat="1" ht="31.5" x14ac:dyDescent="0.25">
      <c r="A71" s="440"/>
      <c r="B71" s="258"/>
      <c r="C71" s="330"/>
      <c r="D71" s="459"/>
      <c r="E71" s="508" t="s">
        <v>206</v>
      </c>
      <c r="F71" s="81">
        <f>F95*2</f>
        <v>4824</v>
      </c>
      <c r="G71" s="78">
        <f t="shared" si="0"/>
        <v>5788.8</v>
      </c>
      <c r="H71" s="457" t="s">
        <v>139</v>
      </c>
    </row>
    <row r="72" spans="1:8" s="506" customFormat="1" ht="15.75" x14ac:dyDescent="0.25">
      <c r="A72" s="461" t="s">
        <v>35</v>
      </c>
      <c r="B72" s="462"/>
      <c r="C72" s="462"/>
      <c r="D72" s="462"/>
      <c r="E72" s="462"/>
      <c r="F72" s="462"/>
      <c r="G72" s="462"/>
      <c r="H72" s="463"/>
    </row>
    <row r="73" spans="1:8" s="506" customFormat="1" ht="15.75" x14ac:dyDescent="0.25">
      <c r="A73" s="258" t="s">
        <v>36</v>
      </c>
      <c r="B73" s="258"/>
      <c r="C73" s="461" t="s">
        <v>37</v>
      </c>
      <c r="D73" s="462"/>
      <c r="E73" s="462"/>
      <c r="F73" s="462"/>
      <c r="G73" s="462"/>
      <c r="H73" s="463"/>
    </row>
    <row r="74" spans="1:8" s="506" customFormat="1" ht="15.75" x14ac:dyDescent="0.25">
      <c r="A74" s="269">
        <v>7</v>
      </c>
      <c r="B74" s="258" t="s">
        <v>140</v>
      </c>
      <c r="C74" s="260" t="s">
        <v>38</v>
      </c>
      <c r="D74" s="269" t="s">
        <v>11</v>
      </c>
      <c r="E74" s="156" t="s">
        <v>12</v>
      </c>
      <c r="F74" s="448" t="s">
        <v>107</v>
      </c>
      <c r="G74" s="449"/>
      <c r="H74" s="39"/>
    </row>
    <row r="75" spans="1:8" s="506" customFormat="1" ht="31.5" x14ac:dyDescent="0.25">
      <c r="A75" s="269"/>
      <c r="B75" s="258"/>
      <c r="C75" s="260"/>
      <c r="D75" s="269"/>
      <c r="E75" s="155" t="s">
        <v>206</v>
      </c>
      <c r="F75" s="448" t="s">
        <v>107</v>
      </c>
      <c r="G75" s="449"/>
      <c r="H75" s="39"/>
    </row>
    <row r="76" spans="1:8" s="506" customFormat="1" ht="15.75" x14ac:dyDescent="0.25">
      <c r="A76" s="269"/>
      <c r="B76" s="258"/>
      <c r="C76" s="260"/>
      <c r="D76" s="39" t="s">
        <v>2</v>
      </c>
      <c r="E76" s="156"/>
      <c r="F76" s="448" t="s">
        <v>107</v>
      </c>
      <c r="G76" s="449"/>
      <c r="H76" s="39"/>
    </row>
    <row r="77" spans="1:8" s="506" customFormat="1" ht="66.75" customHeight="1" x14ac:dyDescent="0.25">
      <c r="A77" s="432">
        <v>8</v>
      </c>
      <c r="B77" s="307" t="s">
        <v>42</v>
      </c>
      <c r="C77" s="432" t="s">
        <v>43</v>
      </c>
      <c r="D77" s="38" t="s">
        <v>40</v>
      </c>
      <c r="E77" s="156" t="s">
        <v>11</v>
      </c>
      <c r="F77" s="499" t="s">
        <v>14</v>
      </c>
      <c r="G77" s="500"/>
      <c r="H77" s="39" t="s">
        <v>90</v>
      </c>
    </row>
    <row r="78" spans="1:8" s="506" customFormat="1" ht="15.75" x14ac:dyDescent="0.25">
      <c r="A78" s="433"/>
      <c r="B78" s="308"/>
      <c r="C78" s="433"/>
      <c r="D78" s="507" t="s">
        <v>91</v>
      </c>
      <c r="E78" s="156" t="s">
        <v>2</v>
      </c>
      <c r="F78" s="499" t="s">
        <v>14</v>
      </c>
      <c r="G78" s="500"/>
      <c r="H78" s="498"/>
    </row>
    <row r="79" spans="1:8" s="506" customFormat="1" ht="98.25" customHeight="1" x14ac:dyDescent="0.25">
      <c r="A79" s="433"/>
      <c r="B79" s="308"/>
      <c r="C79" s="433"/>
      <c r="D79" s="432" t="s">
        <v>89</v>
      </c>
      <c r="E79" s="156" t="s">
        <v>12</v>
      </c>
      <c r="F79" s="78">
        <v>315</v>
      </c>
      <c r="G79" s="78">
        <f t="shared" ref="G79:G86" si="1">F79*1.2</f>
        <v>378</v>
      </c>
      <c r="H79" s="468" t="s">
        <v>661</v>
      </c>
    </row>
    <row r="80" spans="1:8" s="506" customFormat="1" ht="96.75" customHeight="1" x14ac:dyDescent="0.25">
      <c r="A80" s="433"/>
      <c r="B80" s="308"/>
      <c r="C80" s="433"/>
      <c r="D80" s="433"/>
      <c r="E80" s="156" t="s">
        <v>12</v>
      </c>
      <c r="F80" s="78">
        <v>630</v>
      </c>
      <c r="G80" s="78">
        <f t="shared" si="1"/>
        <v>756</v>
      </c>
      <c r="H80" s="468" t="s">
        <v>660</v>
      </c>
    </row>
    <row r="81" spans="1:8" s="506" customFormat="1" ht="95.25" customHeight="1" x14ac:dyDescent="0.25">
      <c r="A81" s="433"/>
      <c r="B81" s="308"/>
      <c r="C81" s="433"/>
      <c r="D81" s="433"/>
      <c r="E81" s="156" t="s">
        <v>12</v>
      </c>
      <c r="F81" s="78">
        <v>1050</v>
      </c>
      <c r="G81" s="78">
        <f t="shared" si="1"/>
        <v>1260</v>
      </c>
      <c r="H81" s="468" t="s">
        <v>659</v>
      </c>
    </row>
    <row r="82" spans="1:8" s="506" customFormat="1" ht="95.25" customHeight="1" x14ac:dyDescent="0.25">
      <c r="A82" s="433"/>
      <c r="B82" s="308"/>
      <c r="C82" s="433"/>
      <c r="D82" s="433"/>
      <c r="E82" s="156" t="s">
        <v>13</v>
      </c>
      <c r="F82" s="78">
        <v>525</v>
      </c>
      <c r="G82" s="78">
        <f t="shared" si="1"/>
        <v>630</v>
      </c>
      <c r="H82" s="468" t="s">
        <v>661</v>
      </c>
    </row>
    <row r="83" spans="1:8" s="506" customFormat="1" ht="96" customHeight="1" x14ac:dyDescent="0.25">
      <c r="A83" s="433"/>
      <c r="B83" s="308"/>
      <c r="C83" s="433"/>
      <c r="D83" s="433"/>
      <c r="E83" s="156" t="s">
        <v>13</v>
      </c>
      <c r="F83" s="78">
        <v>787</v>
      </c>
      <c r="G83" s="78">
        <f t="shared" si="1"/>
        <v>944.4</v>
      </c>
      <c r="H83" s="468" t="s">
        <v>660</v>
      </c>
    </row>
    <row r="84" spans="1:8" s="506" customFormat="1" ht="98.25" customHeight="1" x14ac:dyDescent="0.25">
      <c r="A84" s="433"/>
      <c r="B84" s="308"/>
      <c r="C84" s="433"/>
      <c r="D84" s="434"/>
      <c r="E84" s="156" t="s">
        <v>13</v>
      </c>
      <c r="F84" s="78">
        <v>1050</v>
      </c>
      <c r="G84" s="78">
        <f t="shared" si="1"/>
        <v>1260</v>
      </c>
      <c r="H84" s="468" t="s">
        <v>659</v>
      </c>
    </row>
    <row r="85" spans="1:8" s="506" customFormat="1" ht="97.5" customHeight="1" x14ac:dyDescent="0.25">
      <c r="A85" s="433"/>
      <c r="B85" s="308"/>
      <c r="C85" s="433"/>
      <c r="D85" s="269" t="s">
        <v>141</v>
      </c>
      <c r="E85" s="156" t="s">
        <v>2</v>
      </c>
      <c r="F85" s="183">
        <v>3000</v>
      </c>
      <c r="G85" s="183">
        <f t="shared" si="1"/>
        <v>3600</v>
      </c>
      <c r="H85" s="39" t="s">
        <v>722</v>
      </c>
    </row>
    <row r="86" spans="1:8" s="506" customFormat="1" ht="95.25" customHeight="1" x14ac:dyDescent="0.25">
      <c r="A86" s="434"/>
      <c r="B86" s="309"/>
      <c r="C86" s="434"/>
      <c r="D86" s="269"/>
      <c r="E86" s="156" t="s">
        <v>2</v>
      </c>
      <c r="F86" s="183">
        <v>4500</v>
      </c>
      <c r="G86" s="183">
        <f t="shared" si="1"/>
        <v>5400</v>
      </c>
      <c r="H86" s="39" t="s">
        <v>662</v>
      </c>
    </row>
    <row r="87" spans="1:8" s="506" customFormat="1" ht="15.75" x14ac:dyDescent="0.25">
      <c r="A87" s="262" t="s">
        <v>81</v>
      </c>
      <c r="B87" s="262"/>
      <c r="C87" s="369" t="s">
        <v>82</v>
      </c>
      <c r="D87" s="370"/>
      <c r="E87" s="370"/>
      <c r="F87" s="370"/>
      <c r="G87" s="370"/>
      <c r="H87" s="371"/>
    </row>
    <row r="88" spans="1:8" s="506" customFormat="1" ht="15.75" x14ac:dyDescent="0.25">
      <c r="A88" s="464">
        <v>9</v>
      </c>
      <c r="B88" s="465" t="s">
        <v>83</v>
      </c>
      <c r="C88" s="369" t="s">
        <v>143</v>
      </c>
      <c r="D88" s="370"/>
      <c r="E88" s="370"/>
      <c r="F88" s="370"/>
      <c r="G88" s="370"/>
      <c r="H88" s="371"/>
    </row>
    <row r="89" spans="1:8" s="506" customFormat="1" ht="31.5" x14ac:dyDescent="0.25">
      <c r="A89" s="466"/>
      <c r="B89" s="467"/>
      <c r="C89" s="269" t="s">
        <v>84</v>
      </c>
      <c r="D89" s="260" t="s">
        <v>85</v>
      </c>
      <c r="E89" s="508" t="s">
        <v>663</v>
      </c>
      <c r="F89" s="81">
        <v>1674</v>
      </c>
      <c r="G89" s="78">
        <f t="shared" ref="G89:G118" si="2">F89*1.2</f>
        <v>2008.8</v>
      </c>
      <c r="H89" s="468"/>
    </row>
    <row r="90" spans="1:8" s="506" customFormat="1" ht="15.75" x14ac:dyDescent="0.25">
      <c r="A90" s="466"/>
      <c r="B90" s="467"/>
      <c r="C90" s="269"/>
      <c r="D90" s="260"/>
      <c r="E90" s="453" t="s">
        <v>12</v>
      </c>
      <c r="F90" s="81">
        <v>2581</v>
      </c>
      <c r="G90" s="78">
        <f t="shared" si="2"/>
        <v>3097.2</v>
      </c>
      <c r="H90" s="457" t="s">
        <v>134</v>
      </c>
    </row>
    <row r="91" spans="1:8" s="506" customFormat="1" ht="15.75" x14ac:dyDescent="0.25">
      <c r="A91" s="466"/>
      <c r="B91" s="467"/>
      <c r="C91" s="283"/>
      <c r="D91" s="260"/>
      <c r="E91" s="453" t="s">
        <v>12</v>
      </c>
      <c r="F91" s="81">
        <v>3217</v>
      </c>
      <c r="G91" s="78">
        <f t="shared" si="2"/>
        <v>3860.3999999999996</v>
      </c>
      <c r="H91" s="457" t="s">
        <v>135</v>
      </c>
    </row>
    <row r="92" spans="1:8" s="506" customFormat="1" ht="31.5" x14ac:dyDescent="0.25">
      <c r="A92" s="466"/>
      <c r="B92" s="467"/>
      <c r="C92" s="283"/>
      <c r="D92" s="260"/>
      <c r="E92" s="508" t="s">
        <v>206</v>
      </c>
      <c r="F92" s="81">
        <v>3217</v>
      </c>
      <c r="G92" s="78">
        <f t="shared" si="2"/>
        <v>3860.3999999999996</v>
      </c>
      <c r="H92" s="468"/>
    </row>
    <row r="93" spans="1:8" s="506" customFormat="1" ht="31.5" x14ac:dyDescent="0.25">
      <c r="A93" s="466"/>
      <c r="B93" s="467"/>
      <c r="C93" s="269" t="s">
        <v>84</v>
      </c>
      <c r="D93" s="260" t="s">
        <v>85</v>
      </c>
      <c r="E93" s="508" t="s">
        <v>663</v>
      </c>
      <c r="F93" s="81">
        <v>1256</v>
      </c>
      <c r="G93" s="78">
        <f t="shared" si="2"/>
        <v>1507.2</v>
      </c>
      <c r="H93" s="468" t="s">
        <v>145</v>
      </c>
    </row>
    <row r="94" spans="1:8" s="506" customFormat="1" ht="15.75" x14ac:dyDescent="0.25">
      <c r="A94" s="466"/>
      <c r="B94" s="467"/>
      <c r="C94" s="269"/>
      <c r="D94" s="260"/>
      <c r="E94" s="453" t="s">
        <v>12</v>
      </c>
      <c r="F94" s="81">
        <v>1935</v>
      </c>
      <c r="G94" s="78">
        <f t="shared" si="2"/>
        <v>2322</v>
      </c>
      <c r="H94" s="457" t="s">
        <v>145</v>
      </c>
    </row>
    <row r="95" spans="1:8" s="506" customFormat="1" ht="31.5" x14ac:dyDescent="0.25">
      <c r="A95" s="466"/>
      <c r="B95" s="467"/>
      <c r="C95" s="269"/>
      <c r="D95" s="260"/>
      <c r="E95" s="508" t="s">
        <v>206</v>
      </c>
      <c r="F95" s="81">
        <v>2412</v>
      </c>
      <c r="G95" s="78">
        <f t="shared" si="2"/>
        <v>2894.4</v>
      </c>
      <c r="H95" s="457" t="s">
        <v>145</v>
      </c>
    </row>
    <row r="96" spans="1:8" s="506" customFormat="1" ht="15.75" x14ac:dyDescent="0.25">
      <c r="A96" s="464">
        <v>10</v>
      </c>
      <c r="B96" s="262" t="s">
        <v>87</v>
      </c>
      <c r="C96" s="369" t="s">
        <v>88</v>
      </c>
      <c r="D96" s="370"/>
      <c r="E96" s="370"/>
      <c r="F96" s="370"/>
      <c r="G96" s="370"/>
      <c r="H96" s="371"/>
    </row>
    <row r="97" spans="1:8" s="506" customFormat="1" ht="18" customHeight="1" x14ac:dyDescent="0.25">
      <c r="A97" s="466"/>
      <c r="B97" s="262"/>
      <c r="C97" s="280" t="s">
        <v>655</v>
      </c>
      <c r="D97" s="280" t="s">
        <v>147</v>
      </c>
      <c r="E97" s="82" t="s">
        <v>12</v>
      </c>
      <c r="F97" s="83">
        <v>314</v>
      </c>
      <c r="G97" s="470">
        <f>F97*1.2</f>
        <v>376.8</v>
      </c>
      <c r="H97" s="282" t="s">
        <v>723</v>
      </c>
    </row>
    <row r="98" spans="1:8" s="506" customFormat="1" ht="18" customHeight="1" x14ac:dyDescent="0.25">
      <c r="A98" s="466"/>
      <c r="B98" s="262"/>
      <c r="C98" s="281"/>
      <c r="D98" s="281"/>
      <c r="E98" s="82" t="s">
        <v>13</v>
      </c>
      <c r="F98" s="83">
        <v>463</v>
      </c>
      <c r="G98" s="470">
        <f t="shared" ref="G98:G111" si="3">F98*1.2</f>
        <v>555.6</v>
      </c>
      <c r="H98" s="281"/>
    </row>
    <row r="99" spans="1:8" s="506" customFormat="1" ht="18" customHeight="1" x14ac:dyDescent="0.25">
      <c r="A99" s="466"/>
      <c r="B99" s="262"/>
      <c r="C99" s="281"/>
      <c r="D99" s="281"/>
      <c r="E99" s="82" t="s">
        <v>148</v>
      </c>
      <c r="F99" s="83">
        <v>479</v>
      </c>
      <c r="G99" s="470">
        <f t="shared" si="3"/>
        <v>574.79999999999995</v>
      </c>
      <c r="H99" s="281"/>
    </row>
    <row r="100" spans="1:8" s="506" customFormat="1" ht="18" customHeight="1" x14ac:dyDescent="0.25">
      <c r="A100" s="466"/>
      <c r="B100" s="262"/>
      <c r="C100" s="280" t="s">
        <v>654</v>
      </c>
      <c r="D100" s="281"/>
      <c r="E100" s="82" t="s">
        <v>12</v>
      </c>
      <c r="F100" s="83">
        <f t="shared" ref="F100:F105" si="4">F97*2</f>
        <v>628</v>
      </c>
      <c r="G100" s="470">
        <f t="shared" si="3"/>
        <v>753.6</v>
      </c>
      <c r="H100" s="281"/>
    </row>
    <row r="101" spans="1:8" s="506" customFormat="1" ht="18" customHeight="1" x14ac:dyDescent="0.25">
      <c r="A101" s="466"/>
      <c r="B101" s="262"/>
      <c r="C101" s="281"/>
      <c r="D101" s="281"/>
      <c r="E101" s="82" t="s">
        <v>13</v>
      </c>
      <c r="F101" s="83">
        <f t="shared" si="4"/>
        <v>926</v>
      </c>
      <c r="G101" s="470">
        <f t="shared" si="3"/>
        <v>1111.2</v>
      </c>
      <c r="H101" s="281"/>
    </row>
    <row r="102" spans="1:8" s="506" customFormat="1" ht="18" customHeight="1" x14ac:dyDescent="0.25">
      <c r="A102" s="466"/>
      <c r="B102" s="262"/>
      <c r="C102" s="281"/>
      <c r="D102" s="281"/>
      <c r="E102" s="82" t="s">
        <v>148</v>
      </c>
      <c r="F102" s="83">
        <f t="shared" si="4"/>
        <v>958</v>
      </c>
      <c r="G102" s="470">
        <f t="shared" si="3"/>
        <v>1149.5999999999999</v>
      </c>
      <c r="H102" s="281"/>
    </row>
    <row r="103" spans="1:8" s="506" customFormat="1" ht="18" customHeight="1" x14ac:dyDescent="0.25">
      <c r="A103" s="466"/>
      <c r="B103" s="262"/>
      <c r="C103" s="280" t="s">
        <v>653</v>
      </c>
      <c r="D103" s="281"/>
      <c r="E103" s="82" t="s">
        <v>12</v>
      </c>
      <c r="F103" s="83">
        <f t="shared" si="4"/>
        <v>1256</v>
      </c>
      <c r="G103" s="470">
        <f t="shared" si="3"/>
        <v>1507.2</v>
      </c>
      <c r="H103" s="281"/>
    </row>
    <row r="104" spans="1:8" s="506" customFormat="1" ht="18" customHeight="1" x14ac:dyDescent="0.25">
      <c r="A104" s="466"/>
      <c r="B104" s="262"/>
      <c r="C104" s="281"/>
      <c r="D104" s="281"/>
      <c r="E104" s="82" t="s">
        <v>13</v>
      </c>
      <c r="F104" s="83">
        <f t="shared" si="4"/>
        <v>1852</v>
      </c>
      <c r="G104" s="470">
        <f t="shared" si="3"/>
        <v>2222.4</v>
      </c>
      <c r="H104" s="281"/>
    </row>
    <row r="105" spans="1:8" s="506" customFormat="1" ht="18" customHeight="1" x14ac:dyDescent="0.25">
      <c r="A105" s="466"/>
      <c r="B105" s="262"/>
      <c r="C105" s="281"/>
      <c r="D105" s="281"/>
      <c r="E105" s="82" t="s">
        <v>148</v>
      </c>
      <c r="F105" s="83">
        <f t="shared" si="4"/>
        <v>1916</v>
      </c>
      <c r="G105" s="470">
        <f t="shared" si="3"/>
        <v>2299.1999999999998</v>
      </c>
      <c r="H105" s="281"/>
    </row>
    <row r="106" spans="1:8" s="506" customFormat="1" ht="15.75" x14ac:dyDescent="0.25">
      <c r="A106" s="466"/>
      <c r="B106" s="262"/>
      <c r="C106" s="280" t="s">
        <v>652</v>
      </c>
      <c r="D106" s="280" t="s">
        <v>147</v>
      </c>
      <c r="E106" s="82" t="s">
        <v>12</v>
      </c>
      <c r="F106" s="83">
        <v>94</v>
      </c>
      <c r="G106" s="470">
        <f t="shared" si="3"/>
        <v>112.8</v>
      </c>
      <c r="H106" s="282" t="s">
        <v>150</v>
      </c>
    </row>
    <row r="107" spans="1:8" s="506" customFormat="1" ht="15.75" x14ac:dyDescent="0.25">
      <c r="A107" s="466"/>
      <c r="B107" s="262"/>
      <c r="C107" s="281"/>
      <c r="D107" s="280"/>
      <c r="E107" s="82" t="s">
        <v>13</v>
      </c>
      <c r="F107" s="83">
        <v>129</v>
      </c>
      <c r="G107" s="470">
        <f t="shared" si="3"/>
        <v>154.79999999999998</v>
      </c>
      <c r="H107" s="282"/>
    </row>
    <row r="108" spans="1:8" s="506" customFormat="1" ht="15.75" x14ac:dyDescent="0.25">
      <c r="A108" s="466"/>
      <c r="B108" s="262"/>
      <c r="C108" s="281"/>
      <c r="D108" s="280"/>
      <c r="E108" s="82" t="s">
        <v>148</v>
      </c>
      <c r="F108" s="83">
        <v>129</v>
      </c>
      <c r="G108" s="470">
        <f t="shared" si="3"/>
        <v>154.79999999999998</v>
      </c>
      <c r="H108" s="282"/>
    </row>
    <row r="109" spans="1:8" s="506" customFormat="1" ht="15.75" x14ac:dyDescent="0.25">
      <c r="A109" s="466"/>
      <c r="B109" s="262"/>
      <c r="C109" s="280" t="s">
        <v>651</v>
      </c>
      <c r="D109" s="280"/>
      <c r="E109" s="82" t="s">
        <v>12</v>
      </c>
      <c r="F109" s="83">
        <f>F106*5</f>
        <v>470</v>
      </c>
      <c r="G109" s="470">
        <f t="shared" si="3"/>
        <v>564</v>
      </c>
      <c r="H109" s="282"/>
    </row>
    <row r="110" spans="1:8" s="506" customFormat="1" ht="15.75" x14ac:dyDescent="0.25">
      <c r="A110" s="466"/>
      <c r="B110" s="262"/>
      <c r="C110" s="281"/>
      <c r="D110" s="280"/>
      <c r="E110" s="82" t="s">
        <v>13</v>
      </c>
      <c r="F110" s="83">
        <f>F107*5</f>
        <v>645</v>
      </c>
      <c r="G110" s="470">
        <f t="shared" si="3"/>
        <v>774</v>
      </c>
      <c r="H110" s="282"/>
    </row>
    <row r="111" spans="1:8" s="506" customFormat="1" ht="15.75" x14ac:dyDescent="0.25">
      <c r="A111" s="466"/>
      <c r="B111" s="262"/>
      <c r="C111" s="281"/>
      <c r="D111" s="280"/>
      <c r="E111" s="82" t="s">
        <v>148</v>
      </c>
      <c r="F111" s="83">
        <f>F108*5</f>
        <v>645</v>
      </c>
      <c r="G111" s="470">
        <f t="shared" si="3"/>
        <v>774</v>
      </c>
      <c r="H111" s="282"/>
    </row>
    <row r="112" spans="1:8" s="506" customFormat="1" ht="31.5" x14ac:dyDescent="0.25">
      <c r="A112" s="466"/>
      <c r="B112" s="262"/>
      <c r="C112" s="360" t="s">
        <v>88</v>
      </c>
      <c r="D112" s="79" t="s">
        <v>89</v>
      </c>
      <c r="E112" s="508" t="s">
        <v>663</v>
      </c>
      <c r="F112" s="81">
        <v>799</v>
      </c>
      <c r="G112" s="78">
        <f t="shared" si="2"/>
        <v>958.8</v>
      </c>
      <c r="H112" s="471" t="s">
        <v>665</v>
      </c>
    </row>
    <row r="113" spans="1:8" s="506" customFormat="1" ht="15.75" x14ac:dyDescent="0.25">
      <c r="A113" s="466"/>
      <c r="B113" s="262"/>
      <c r="C113" s="472"/>
      <c r="D113" s="79" t="s">
        <v>89</v>
      </c>
      <c r="E113" s="453" t="s">
        <v>12</v>
      </c>
      <c r="F113" s="81">
        <v>2265</v>
      </c>
      <c r="G113" s="78">
        <f t="shared" si="2"/>
        <v>2718</v>
      </c>
      <c r="H113" s="473"/>
    </row>
    <row r="114" spans="1:8" s="506" customFormat="1" ht="15.75" x14ac:dyDescent="0.25">
      <c r="A114" s="466"/>
      <c r="B114" s="262"/>
      <c r="C114" s="472"/>
      <c r="D114" s="79" t="s">
        <v>89</v>
      </c>
      <c r="E114" s="453" t="s">
        <v>13</v>
      </c>
      <c r="F114" s="81">
        <v>3111</v>
      </c>
      <c r="G114" s="78">
        <f t="shared" si="2"/>
        <v>3733.2</v>
      </c>
      <c r="H114" s="473"/>
    </row>
    <row r="115" spans="1:8" s="506" customFormat="1" ht="15.75" x14ac:dyDescent="0.25">
      <c r="A115" s="563"/>
      <c r="B115" s="262"/>
      <c r="C115" s="361"/>
      <c r="D115" s="79" t="s">
        <v>89</v>
      </c>
      <c r="E115" s="453" t="s">
        <v>148</v>
      </c>
      <c r="F115" s="81">
        <v>3199</v>
      </c>
      <c r="G115" s="78">
        <f t="shared" si="2"/>
        <v>3838.7999999999997</v>
      </c>
      <c r="H115" s="474"/>
    </row>
    <row r="116" spans="1:8" s="506" customFormat="1" ht="15.75" x14ac:dyDescent="0.25">
      <c r="A116" s="432">
        <v>11</v>
      </c>
      <c r="B116" s="307" t="s">
        <v>274</v>
      </c>
      <c r="C116" s="475" t="s">
        <v>151</v>
      </c>
      <c r="D116" s="476"/>
      <c r="E116" s="476"/>
      <c r="F116" s="476"/>
      <c r="G116" s="476"/>
      <c r="H116" s="477"/>
    </row>
    <row r="117" spans="1:8" s="506" customFormat="1" ht="47.25" x14ac:dyDescent="0.25">
      <c r="A117" s="433"/>
      <c r="B117" s="308"/>
      <c r="C117" s="478" t="s">
        <v>152</v>
      </c>
      <c r="D117" s="79" t="s">
        <v>153</v>
      </c>
      <c r="E117" s="155" t="s">
        <v>657</v>
      </c>
      <c r="F117" s="479">
        <v>533</v>
      </c>
      <c r="G117" s="78">
        <f t="shared" si="2"/>
        <v>639.6</v>
      </c>
      <c r="H117" s="84" t="s">
        <v>154</v>
      </c>
    </row>
    <row r="118" spans="1:8" s="506" customFormat="1" ht="47.25" x14ac:dyDescent="0.25">
      <c r="A118" s="434"/>
      <c r="B118" s="309"/>
      <c r="C118" s="480"/>
      <c r="D118" s="79" t="s">
        <v>155</v>
      </c>
      <c r="E118" s="155" t="s">
        <v>657</v>
      </c>
      <c r="F118" s="479">
        <v>1679</v>
      </c>
      <c r="G118" s="78">
        <f t="shared" si="2"/>
        <v>2014.8</v>
      </c>
      <c r="H118" s="84" t="s">
        <v>156</v>
      </c>
    </row>
    <row r="119" spans="1:8" s="506" customFormat="1" ht="15.75" x14ac:dyDescent="0.25">
      <c r="A119" s="257">
        <v>12</v>
      </c>
      <c r="B119" s="258" t="s">
        <v>44</v>
      </c>
      <c r="C119" s="481" t="s">
        <v>157</v>
      </c>
      <c r="D119" s="482"/>
      <c r="E119" s="482"/>
      <c r="F119" s="482"/>
      <c r="G119" s="482"/>
      <c r="H119" s="483"/>
    </row>
    <row r="120" spans="1:8" s="506" customFormat="1" ht="31.5" x14ac:dyDescent="0.25">
      <c r="A120" s="257"/>
      <c r="B120" s="258"/>
      <c r="C120" s="372" t="s">
        <v>158</v>
      </c>
      <c r="D120" s="77" t="s">
        <v>63</v>
      </c>
      <c r="E120" s="156"/>
      <c r="F120" s="31">
        <v>711</v>
      </c>
      <c r="G120" s="81">
        <f>F120*1.2</f>
        <v>853.19999999999993</v>
      </c>
      <c r="H120" s="77" t="s">
        <v>159</v>
      </c>
    </row>
    <row r="121" spans="1:8" s="506" customFormat="1" ht="31.5" x14ac:dyDescent="0.25">
      <c r="A121" s="257"/>
      <c r="B121" s="258"/>
      <c r="C121" s="352"/>
      <c r="D121" s="77" t="s">
        <v>63</v>
      </c>
      <c r="E121" s="156"/>
      <c r="F121" s="31">
        <v>917</v>
      </c>
      <c r="G121" s="81">
        <f t="shared" ref="G121:G136" si="5">F121*1.2</f>
        <v>1100.3999999999999</v>
      </c>
      <c r="H121" s="77" t="s">
        <v>160</v>
      </c>
    </row>
    <row r="122" spans="1:8" s="506" customFormat="1" ht="31.5" x14ac:dyDescent="0.25">
      <c r="A122" s="257"/>
      <c r="B122" s="258"/>
      <c r="C122" s="330"/>
      <c r="D122" s="77" t="s">
        <v>63</v>
      </c>
      <c r="E122" s="156"/>
      <c r="F122" s="31">
        <v>540</v>
      </c>
      <c r="G122" s="81">
        <f t="shared" si="5"/>
        <v>648</v>
      </c>
      <c r="H122" s="77" t="s">
        <v>161</v>
      </c>
    </row>
    <row r="123" spans="1:8" s="506" customFormat="1" ht="15.75" x14ac:dyDescent="0.25">
      <c r="A123" s="311">
        <v>13</v>
      </c>
      <c r="B123" s="307" t="s">
        <v>162</v>
      </c>
      <c r="C123" s="481" t="s">
        <v>163</v>
      </c>
      <c r="D123" s="482"/>
      <c r="E123" s="482"/>
      <c r="F123" s="482"/>
      <c r="G123" s="482"/>
      <c r="H123" s="483"/>
    </row>
    <row r="124" spans="1:8" s="506" customFormat="1" ht="63" x14ac:dyDescent="0.25">
      <c r="A124" s="313"/>
      <c r="B124" s="309"/>
      <c r="C124" s="50" t="s">
        <v>163</v>
      </c>
      <c r="D124" s="76" t="s">
        <v>11</v>
      </c>
      <c r="E124" s="76" t="s">
        <v>12</v>
      </c>
      <c r="F124" s="31">
        <v>4383</v>
      </c>
      <c r="G124" s="81">
        <f t="shared" si="5"/>
        <v>5259.5999999999995</v>
      </c>
      <c r="H124" s="79" t="s">
        <v>164</v>
      </c>
    </row>
    <row r="125" spans="1:8" s="506" customFormat="1" ht="15.75" x14ac:dyDescent="0.25">
      <c r="A125" s="257">
        <v>14</v>
      </c>
      <c r="B125" s="258" t="s">
        <v>285</v>
      </c>
      <c r="C125" s="261" t="s">
        <v>165</v>
      </c>
      <c r="D125" s="261" t="s">
        <v>11</v>
      </c>
      <c r="E125" s="156" t="s">
        <v>12</v>
      </c>
      <c r="F125" s="31">
        <v>2487</v>
      </c>
      <c r="G125" s="81">
        <f t="shared" si="5"/>
        <v>2984.4</v>
      </c>
      <c r="H125" s="260" t="s">
        <v>166</v>
      </c>
    </row>
    <row r="126" spans="1:8" s="506" customFormat="1" ht="31.5" x14ac:dyDescent="0.25">
      <c r="A126" s="257"/>
      <c r="B126" s="258"/>
      <c r="C126" s="261"/>
      <c r="D126" s="261"/>
      <c r="E126" s="155" t="s">
        <v>206</v>
      </c>
      <c r="F126" s="31">
        <v>2786</v>
      </c>
      <c r="G126" s="81">
        <f t="shared" si="5"/>
        <v>3343.2</v>
      </c>
      <c r="H126" s="260"/>
    </row>
    <row r="127" spans="1:8" s="506" customFormat="1" ht="15.75" x14ac:dyDescent="0.25">
      <c r="A127" s="441"/>
      <c r="B127" s="442"/>
      <c r="C127" s="443" t="s">
        <v>167</v>
      </c>
      <c r="D127" s="444"/>
      <c r="E127" s="444"/>
      <c r="F127" s="444"/>
      <c r="G127" s="444"/>
      <c r="H127" s="445"/>
    </row>
    <row r="128" spans="1:8" s="509" customFormat="1" ht="31.5" x14ac:dyDescent="0.25">
      <c r="A128" s="76">
        <v>15</v>
      </c>
      <c r="B128" s="37" t="s">
        <v>168</v>
      </c>
      <c r="C128" s="77" t="s">
        <v>169</v>
      </c>
      <c r="D128" s="77" t="s">
        <v>11</v>
      </c>
      <c r="E128" s="453"/>
      <c r="F128" s="100">
        <v>3000</v>
      </c>
      <c r="G128" s="83">
        <f t="shared" si="5"/>
        <v>3600</v>
      </c>
      <c r="H128" s="468" t="s">
        <v>648</v>
      </c>
    </row>
    <row r="129" spans="1:8" s="509" customFormat="1" ht="31.5" x14ac:dyDescent="0.25">
      <c r="A129" s="311">
        <v>16</v>
      </c>
      <c r="B129" s="307" t="s">
        <v>170</v>
      </c>
      <c r="C129" s="47" t="s">
        <v>171</v>
      </c>
      <c r="D129" s="77" t="s">
        <v>11</v>
      </c>
      <c r="E129" s="453"/>
      <c r="F129" s="100">
        <v>2250</v>
      </c>
      <c r="G129" s="83">
        <f t="shared" si="5"/>
        <v>2700</v>
      </c>
      <c r="H129" s="468" t="s">
        <v>649</v>
      </c>
    </row>
    <row r="130" spans="1:8" s="506" customFormat="1" ht="31.5" x14ac:dyDescent="0.25">
      <c r="A130" s="313"/>
      <c r="B130" s="309"/>
      <c r="C130" s="47" t="s">
        <v>171</v>
      </c>
      <c r="D130" s="77" t="s">
        <v>11</v>
      </c>
      <c r="E130" s="453"/>
      <c r="F130" s="100">
        <v>1194</v>
      </c>
      <c r="G130" s="83">
        <f t="shared" si="5"/>
        <v>1432.8</v>
      </c>
      <c r="H130" s="468" t="s">
        <v>172</v>
      </c>
    </row>
    <row r="131" spans="1:8" s="506" customFormat="1" ht="31.5" x14ac:dyDescent="0.25">
      <c r="A131" s="76">
        <v>17</v>
      </c>
      <c r="B131" s="37" t="s">
        <v>173</v>
      </c>
      <c r="C131" s="79" t="s">
        <v>174</v>
      </c>
      <c r="D131" s="77" t="s">
        <v>11</v>
      </c>
      <c r="E131" s="453"/>
      <c r="F131" s="78">
        <v>1028</v>
      </c>
      <c r="G131" s="81">
        <f t="shared" si="5"/>
        <v>1233.5999999999999</v>
      </c>
      <c r="H131" s="468"/>
    </row>
    <row r="132" spans="1:8" s="506" customFormat="1" ht="15.75" x14ac:dyDescent="0.25">
      <c r="A132" s="311">
        <v>18</v>
      </c>
      <c r="B132" s="307" t="s">
        <v>175</v>
      </c>
      <c r="C132" s="443" t="s">
        <v>94</v>
      </c>
      <c r="D132" s="444"/>
      <c r="E132" s="444"/>
      <c r="F132" s="444"/>
      <c r="G132" s="444"/>
      <c r="H132" s="445"/>
    </row>
    <row r="133" spans="1:8" s="506" customFormat="1" ht="31.5" x14ac:dyDescent="0.25">
      <c r="A133" s="312"/>
      <c r="B133" s="308"/>
      <c r="C133" s="372" t="s">
        <v>94</v>
      </c>
      <c r="D133" s="360" t="s">
        <v>11</v>
      </c>
      <c r="E133" s="155" t="s">
        <v>663</v>
      </c>
      <c r="F133" s="78">
        <v>1273</v>
      </c>
      <c r="G133" s="81">
        <f t="shared" si="5"/>
        <v>1527.6</v>
      </c>
      <c r="H133" s="260" t="s">
        <v>176</v>
      </c>
    </row>
    <row r="134" spans="1:8" s="506" customFormat="1" ht="15.75" x14ac:dyDescent="0.25">
      <c r="A134" s="312"/>
      <c r="B134" s="308"/>
      <c r="C134" s="352"/>
      <c r="D134" s="472"/>
      <c r="E134" s="156" t="s">
        <v>12</v>
      </c>
      <c r="F134" s="78">
        <v>2439</v>
      </c>
      <c r="G134" s="81">
        <f t="shared" si="5"/>
        <v>2926.7999999999997</v>
      </c>
      <c r="H134" s="260"/>
    </row>
    <row r="135" spans="1:8" s="506" customFormat="1" ht="15.75" x14ac:dyDescent="0.25">
      <c r="A135" s="312"/>
      <c r="B135" s="308"/>
      <c r="C135" s="352"/>
      <c r="D135" s="472"/>
      <c r="E135" s="156" t="s">
        <v>13</v>
      </c>
      <c r="F135" s="78">
        <v>3558</v>
      </c>
      <c r="G135" s="81">
        <f t="shared" si="5"/>
        <v>4269.5999999999995</v>
      </c>
      <c r="H135" s="260"/>
    </row>
    <row r="136" spans="1:8" s="506" customFormat="1" ht="15.75" x14ac:dyDescent="0.25">
      <c r="A136" s="312"/>
      <c r="B136" s="308"/>
      <c r="C136" s="352"/>
      <c r="D136" s="472"/>
      <c r="E136" s="156" t="s">
        <v>148</v>
      </c>
      <c r="F136" s="78">
        <v>3660</v>
      </c>
      <c r="G136" s="81">
        <f t="shared" si="5"/>
        <v>4392</v>
      </c>
      <c r="H136" s="260"/>
    </row>
    <row r="137" spans="1:8" s="506" customFormat="1" ht="47.25" x14ac:dyDescent="0.25">
      <c r="A137" s="312"/>
      <c r="B137" s="308"/>
      <c r="C137" s="352"/>
      <c r="D137" s="361"/>
      <c r="E137" s="155" t="s">
        <v>286</v>
      </c>
      <c r="F137" s="81">
        <v>1916</v>
      </c>
      <c r="G137" s="78">
        <f>F137*1.2</f>
        <v>2299.1999999999998</v>
      </c>
      <c r="H137" s="78" t="s">
        <v>177</v>
      </c>
    </row>
    <row r="138" spans="1:8" s="506" customFormat="1" ht="84.75" customHeight="1" x14ac:dyDescent="0.25">
      <c r="A138" s="313"/>
      <c r="B138" s="309"/>
      <c r="C138" s="330"/>
      <c r="D138" s="79" t="s">
        <v>3</v>
      </c>
      <c r="E138" s="79"/>
      <c r="F138" s="353" t="s">
        <v>92</v>
      </c>
      <c r="G138" s="354"/>
      <c r="H138" s="79" t="s">
        <v>296</v>
      </c>
    </row>
    <row r="139" spans="1:8" s="506" customFormat="1" ht="47.25" x14ac:dyDescent="0.25">
      <c r="A139" s="484">
        <v>19</v>
      </c>
      <c r="B139" s="37" t="s">
        <v>297</v>
      </c>
      <c r="C139" s="485" t="s">
        <v>178</v>
      </c>
      <c r="D139" s="79" t="s">
        <v>63</v>
      </c>
      <c r="E139" s="155" t="s">
        <v>286</v>
      </c>
      <c r="F139" s="486">
        <v>5372</v>
      </c>
      <c r="G139" s="487">
        <f>F139*1.2</f>
        <v>6446.4</v>
      </c>
      <c r="H139" s="488" t="s">
        <v>179</v>
      </c>
    </row>
    <row r="140" spans="1:8" s="506" customFormat="1" ht="17.25" customHeight="1" x14ac:dyDescent="0.25">
      <c r="A140" s="489" t="s">
        <v>46</v>
      </c>
      <c r="B140" s="490"/>
      <c r="C140" s="443" t="s">
        <v>47</v>
      </c>
      <c r="D140" s="444"/>
      <c r="E140" s="444"/>
      <c r="F140" s="444"/>
      <c r="G140" s="444"/>
      <c r="H140" s="445"/>
    </row>
    <row r="141" spans="1:8" s="506" customFormat="1" ht="17.25" customHeight="1" x14ac:dyDescent="0.25">
      <c r="A141" s="491" t="s">
        <v>180</v>
      </c>
      <c r="B141" s="41" t="s">
        <v>306</v>
      </c>
      <c r="C141" s="47" t="s">
        <v>55</v>
      </c>
      <c r="D141" s="79" t="s">
        <v>181</v>
      </c>
      <c r="E141" s="79"/>
      <c r="F141" s="353" t="s">
        <v>107</v>
      </c>
      <c r="G141" s="354"/>
      <c r="H141" s="47" t="s">
        <v>182</v>
      </c>
    </row>
    <row r="142" spans="1:8" s="506" customFormat="1" ht="15.75" x14ac:dyDescent="0.25">
      <c r="A142" s="257">
        <v>21</v>
      </c>
      <c r="B142" s="258" t="s">
        <v>48</v>
      </c>
      <c r="C142" s="260" t="s">
        <v>49</v>
      </c>
      <c r="D142" s="261" t="s">
        <v>11</v>
      </c>
      <c r="E142" s="156" t="s">
        <v>12</v>
      </c>
      <c r="F142" s="492" t="s">
        <v>107</v>
      </c>
      <c r="G142" s="493"/>
      <c r="H142" s="372"/>
    </row>
    <row r="143" spans="1:8" s="506" customFormat="1" ht="31.5" x14ac:dyDescent="0.25">
      <c r="A143" s="257"/>
      <c r="B143" s="258"/>
      <c r="C143" s="260"/>
      <c r="D143" s="261"/>
      <c r="E143" s="155" t="s">
        <v>206</v>
      </c>
      <c r="F143" s="446"/>
      <c r="G143" s="447"/>
      <c r="H143" s="330"/>
    </row>
    <row r="144" spans="1:8" s="506" customFormat="1" ht="31.5" customHeight="1" x14ac:dyDescent="0.25">
      <c r="A144" s="76">
        <v>22</v>
      </c>
      <c r="B144" s="37" t="s">
        <v>183</v>
      </c>
      <c r="C144" s="79" t="s">
        <v>184</v>
      </c>
      <c r="D144" s="77" t="s">
        <v>2</v>
      </c>
      <c r="E144" s="155"/>
      <c r="F144" s="448" t="s">
        <v>107</v>
      </c>
      <c r="G144" s="449"/>
      <c r="H144" s="155"/>
    </row>
    <row r="145" spans="1:8" s="506" customFormat="1" ht="15.75" x14ac:dyDescent="0.25">
      <c r="A145" s="443" t="s">
        <v>185</v>
      </c>
      <c r="B145" s="444"/>
      <c r="C145" s="444"/>
      <c r="D145" s="444"/>
      <c r="E145" s="444"/>
      <c r="F145" s="444"/>
      <c r="G145" s="444"/>
      <c r="H145" s="445"/>
    </row>
    <row r="146" spans="1:8" s="509" customFormat="1" ht="39" customHeight="1" x14ac:dyDescent="0.25">
      <c r="A146" s="311">
        <v>23</v>
      </c>
      <c r="B146" s="307" t="s">
        <v>313</v>
      </c>
      <c r="C146" s="372" t="s">
        <v>186</v>
      </c>
      <c r="D146" s="79" t="s">
        <v>11</v>
      </c>
      <c r="E146" s="79"/>
      <c r="F146" s="211">
        <v>600</v>
      </c>
      <c r="G146" s="83">
        <f t="shared" ref="G146:G152" si="6">F146*1.2</f>
        <v>720</v>
      </c>
      <c r="H146" s="79" t="s">
        <v>650</v>
      </c>
    </row>
    <row r="147" spans="1:8" s="506" customFormat="1" ht="31.5" x14ac:dyDescent="0.25">
      <c r="A147" s="313"/>
      <c r="B147" s="309"/>
      <c r="C147" s="330"/>
      <c r="D147" s="79" t="s">
        <v>63</v>
      </c>
      <c r="E147" s="79"/>
      <c r="F147" s="31">
        <v>212</v>
      </c>
      <c r="G147" s="81">
        <f t="shared" si="6"/>
        <v>254.39999999999998</v>
      </c>
      <c r="H147" s="49" t="s">
        <v>188</v>
      </c>
    </row>
    <row r="148" spans="1:8" s="506" customFormat="1" ht="47.25" x14ac:dyDescent="0.25">
      <c r="A148" s="79">
        <v>24</v>
      </c>
      <c r="B148" s="37" t="s">
        <v>316</v>
      </c>
      <c r="C148" s="79" t="s">
        <v>189</v>
      </c>
      <c r="D148" s="79" t="s">
        <v>3</v>
      </c>
      <c r="E148" s="79"/>
      <c r="F148" s="160">
        <v>2181.91</v>
      </c>
      <c r="G148" s="81">
        <f t="shared" si="6"/>
        <v>2618.2919999999999</v>
      </c>
      <c r="H148" s="85"/>
    </row>
    <row r="149" spans="1:8" s="506" customFormat="1" ht="15.75" x14ac:dyDescent="0.25">
      <c r="A149" s="276" t="s">
        <v>190</v>
      </c>
      <c r="B149" s="276"/>
      <c r="C149" s="494" t="s">
        <v>191</v>
      </c>
      <c r="D149" s="495"/>
      <c r="E149" s="495"/>
      <c r="F149" s="495"/>
      <c r="G149" s="495"/>
      <c r="H149" s="496"/>
    </row>
    <row r="150" spans="1:8" s="506" customFormat="1" ht="23.25" customHeight="1" x14ac:dyDescent="0.25">
      <c r="A150" s="257">
        <v>25</v>
      </c>
      <c r="B150" s="258" t="s">
        <v>192</v>
      </c>
      <c r="C150" s="257" t="s">
        <v>193</v>
      </c>
      <c r="D150" s="269" t="s">
        <v>194</v>
      </c>
      <c r="E150" s="453" t="s">
        <v>12</v>
      </c>
      <c r="F150" s="78">
        <v>1450</v>
      </c>
      <c r="G150" s="81">
        <f t="shared" si="6"/>
        <v>1740</v>
      </c>
      <c r="H150" s="469" t="s">
        <v>195</v>
      </c>
    </row>
    <row r="151" spans="1:8" s="506" customFormat="1" ht="23.25" customHeight="1" x14ac:dyDescent="0.25">
      <c r="A151" s="257"/>
      <c r="B151" s="258"/>
      <c r="C151" s="257"/>
      <c r="D151" s="269"/>
      <c r="E151" s="453" t="s">
        <v>13</v>
      </c>
      <c r="F151" s="78">
        <v>1450</v>
      </c>
      <c r="G151" s="81">
        <f t="shared" si="6"/>
        <v>1740</v>
      </c>
      <c r="H151" s="469"/>
    </row>
    <row r="152" spans="1:8" s="506" customFormat="1" ht="105.75" customHeight="1" x14ac:dyDescent="0.25">
      <c r="A152" s="76">
        <v>26</v>
      </c>
      <c r="B152" s="37" t="s">
        <v>319</v>
      </c>
      <c r="C152" s="79" t="s">
        <v>196</v>
      </c>
      <c r="D152" s="79" t="s">
        <v>194</v>
      </c>
      <c r="E152" s="155" t="s">
        <v>282</v>
      </c>
      <c r="F152" s="78">
        <v>349</v>
      </c>
      <c r="G152" s="81">
        <f t="shared" si="6"/>
        <v>418.8</v>
      </c>
      <c r="H152" s="39" t="s">
        <v>664</v>
      </c>
    </row>
    <row r="153" spans="1:8" ht="15.75" x14ac:dyDescent="0.25">
      <c r="A153" s="86"/>
      <c r="B153" s="87"/>
      <c r="C153" s="86"/>
      <c r="D153" s="86"/>
      <c r="E153" s="89"/>
      <c r="F153" s="90"/>
      <c r="G153" s="91"/>
      <c r="H153" s="92"/>
    </row>
    <row r="154" spans="1:8" ht="15.75" x14ac:dyDescent="0.25">
      <c r="A154" s="93" t="s">
        <v>197</v>
      </c>
      <c r="B154" s="87"/>
      <c r="C154" s="86"/>
      <c r="D154" s="86"/>
      <c r="E154" s="89"/>
      <c r="F154" s="90"/>
      <c r="G154" s="91"/>
      <c r="H154" s="92"/>
    </row>
    <row r="155" spans="1:8" ht="15.75" x14ac:dyDescent="0.25">
      <c r="A155" s="86"/>
      <c r="B155" s="87"/>
      <c r="C155" s="86"/>
      <c r="D155" s="86"/>
      <c r="E155" s="89"/>
      <c r="F155" s="90"/>
      <c r="G155" s="91"/>
      <c r="H155" s="92"/>
    </row>
    <row r="156" spans="1:8" ht="15.75" x14ac:dyDescent="0.25">
      <c r="A156" s="94" t="s">
        <v>96</v>
      </c>
      <c r="B156" s="63"/>
      <c r="C156" s="1"/>
      <c r="D156" s="62"/>
      <c r="E156" s="510" t="s">
        <v>333</v>
      </c>
      <c r="F156" s="64"/>
      <c r="G156" s="65"/>
      <c r="H156" s="62"/>
    </row>
    <row r="157" spans="1:8" ht="15.75" x14ac:dyDescent="0.25">
      <c r="A157" s="94"/>
      <c r="B157" s="63"/>
      <c r="C157" s="1"/>
      <c r="D157" s="62"/>
      <c r="E157" s="510"/>
      <c r="F157" s="64"/>
      <c r="G157" s="65"/>
      <c r="H157" s="62"/>
    </row>
    <row r="158" spans="1:8" ht="15.75" x14ac:dyDescent="0.25">
      <c r="A158" s="94" t="s">
        <v>66</v>
      </c>
      <c r="B158" s="63"/>
      <c r="C158" s="1"/>
      <c r="D158" s="62"/>
      <c r="E158" s="510" t="s">
        <v>334</v>
      </c>
      <c r="F158" s="64"/>
      <c r="G158" s="65"/>
      <c r="H158" s="62"/>
    </row>
    <row r="159" spans="1:8" ht="15.75" x14ac:dyDescent="0.25">
      <c r="A159" s="94"/>
      <c r="B159" s="63"/>
      <c r="C159" s="1"/>
      <c r="D159" s="62"/>
      <c r="E159" s="510"/>
      <c r="F159" s="64"/>
      <c r="G159" s="65"/>
      <c r="H159" s="62"/>
    </row>
    <row r="160" spans="1:8" ht="15.75" x14ac:dyDescent="0.25">
      <c r="A160" s="94" t="s">
        <v>68</v>
      </c>
      <c r="B160" s="63"/>
      <c r="C160" s="1"/>
      <c r="D160" s="62"/>
      <c r="E160" s="510" t="s">
        <v>335</v>
      </c>
      <c r="F160" s="64"/>
      <c r="G160" s="65"/>
      <c r="H160" s="62"/>
    </row>
    <row r="161" spans="1:8" ht="15.75" x14ac:dyDescent="0.25">
      <c r="A161" s="94"/>
      <c r="B161" s="63"/>
      <c r="C161" s="1"/>
      <c r="D161" s="62"/>
      <c r="E161" s="510"/>
      <c r="F161" s="64"/>
      <c r="G161" s="65"/>
      <c r="H161" s="62"/>
    </row>
    <row r="162" spans="1:8" ht="15.75" x14ac:dyDescent="0.25">
      <c r="A162" s="94" t="s">
        <v>198</v>
      </c>
      <c r="B162" s="63"/>
      <c r="C162" s="1"/>
      <c r="D162" s="95"/>
      <c r="E162" s="510" t="s">
        <v>658</v>
      </c>
      <c r="F162" s="64"/>
      <c r="G162" s="65"/>
      <c r="H162" s="62"/>
    </row>
  </sheetData>
  <mergeCells count="175">
    <mergeCell ref="F144:G144"/>
    <mergeCell ref="A145:H145"/>
    <mergeCell ref="A146:A147"/>
    <mergeCell ref="B146:B147"/>
    <mergeCell ref="C146:C147"/>
    <mergeCell ref="A149:B149"/>
    <mergeCell ref="C149:H149"/>
    <mergeCell ref="A150:A151"/>
    <mergeCell ref="B150:B151"/>
    <mergeCell ref="C150:C151"/>
    <mergeCell ref="D150:D151"/>
    <mergeCell ref="H150:H151"/>
    <mergeCell ref="H142:H143"/>
    <mergeCell ref="A129:A130"/>
    <mergeCell ref="B129:B130"/>
    <mergeCell ref="A132:A138"/>
    <mergeCell ref="B132:B138"/>
    <mergeCell ref="C132:H132"/>
    <mergeCell ref="C133:C138"/>
    <mergeCell ref="D133:D137"/>
    <mergeCell ref="H133:H136"/>
    <mergeCell ref="F138:G138"/>
    <mergeCell ref="B96:B115"/>
    <mergeCell ref="A96:A115"/>
    <mergeCell ref="A8:H8"/>
    <mergeCell ref="A9:H9"/>
    <mergeCell ref="A10:H10"/>
    <mergeCell ref="A13:H13"/>
    <mergeCell ref="A14:B14"/>
    <mergeCell ref="C14:H14"/>
    <mergeCell ref="G1:H1"/>
    <mergeCell ref="G2:H2"/>
    <mergeCell ref="G3:H3"/>
    <mergeCell ref="G4:H4"/>
    <mergeCell ref="G5:H5"/>
    <mergeCell ref="A7:H7"/>
    <mergeCell ref="F16:G16"/>
    <mergeCell ref="F17:G17"/>
    <mergeCell ref="A18:B18"/>
    <mergeCell ref="C18:H18"/>
    <mergeCell ref="A19:A21"/>
    <mergeCell ref="B19:B21"/>
    <mergeCell ref="C19:C21"/>
    <mergeCell ref="D19:D20"/>
    <mergeCell ref="F19:G19"/>
    <mergeCell ref="A15:A17"/>
    <mergeCell ref="B15:B17"/>
    <mergeCell ref="C15:C17"/>
    <mergeCell ref="D15:D16"/>
    <mergeCell ref="F15:G15"/>
    <mergeCell ref="H15:H17"/>
    <mergeCell ref="F23:G23"/>
    <mergeCell ref="F24:G24"/>
    <mergeCell ref="A25:A57"/>
    <mergeCell ref="B25:B57"/>
    <mergeCell ref="C25:H25"/>
    <mergeCell ref="C26:C27"/>
    <mergeCell ref="D26:D27"/>
    <mergeCell ref="H26:H53"/>
    <mergeCell ref="H19:H21"/>
    <mergeCell ref="F20:G20"/>
    <mergeCell ref="F21:G21"/>
    <mergeCell ref="A22:A24"/>
    <mergeCell ref="B22:B24"/>
    <mergeCell ref="C22:C24"/>
    <mergeCell ref="D22:D23"/>
    <mergeCell ref="F22:G22"/>
    <mergeCell ref="H22:H24"/>
    <mergeCell ref="C34:C35"/>
    <mergeCell ref="D34:D35"/>
    <mergeCell ref="C36:C37"/>
    <mergeCell ref="D36:D37"/>
    <mergeCell ref="C38:C39"/>
    <mergeCell ref="D38:D39"/>
    <mergeCell ref="C28:C29"/>
    <mergeCell ref="D28:D29"/>
    <mergeCell ref="C30:C31"/>
    <mergeCell ref="D30:D31"/>
    <mergeCell ref="C32:C33"/>
    <mergeCell ref="D32:D33"/>
    <mergeCell ref="C46:C47"/>
    <mergeCell ref="D46:D47"/>
    <mergeCell ref="C48:C49"/>
    <mergeCell ref="D48:D49"/>
    <mergeCell ref="C50:C51"/>
    <mergeCell ref="D50:D51"/>
    <mergeCell ref="C40:C41"/>
    <mergeCell ref="D40:D41"/>
    <mergeCell ref="C42:C43"/>
    <mergeCell ref="D42:D43"/>
    <mergeCell ref="C44:C45"/>
    <mergeCell ref="D44:D45"/>
    <mergeCell ref="C58:H58"/>
    <mergeCell ref="C59:C61"/>
    <mergeCell ref="D59:D60"/>
    <mergeCell ref="F59:G59"/>
    <mergeCell ref="C52:C53"/>
    <mergeCell ref="D52:D53"/>
    <mergeCell ref="C54:C55"/>
    <mergeCell ref="D54:D55"/>
    <mergeCell ref="H54:H55"/>
    <mergeCell ref="H56:H57"/>
    <mergeCell ref="B58:B61"/>
    <mergeCell ref="A58:A61"/>
    <mergeCell ref="A72:H72"/>
    <mergeCell ref="A73:B73"/>
    <mergeCell ref="C73:H73"/>
    <mergeCell ref="A74:A76"/>
    <mergeCell ref="B74:B76"/>
    <mergeCell ref="C74:C76"/>
    <mergeCell ref="D74:D75"/>
    <mergeCell ref="F74:G74"/>
    <mergeCell ref="F60:G60"/>
    <mergeCell ref="F61:G61"/>
    <mergeCell ref="C62:H62"/>
    <mergeCell ref="C63:C71"/>
    <mergeCell ref="D63:D71"/>
    <mergeCell ref="B62:B71"/>
    <mergeCell ref="A62:A71"/>
    <mergeCell ref="D85:D86"/>
    <mergeCell ref="A87:B87"/>
    <mergeCell ref="C87:H87"/>
    <mergeCell ref="A88:A95"/>
    <mergeCell ref="B88:B95"/>
    <mergeCell ref="C88:H88"/>
    <mergeCell ref="C89:C92"/>
    <mergeCell ref="D89:D92"/>
    <mergeCell ref="F75:G75"/>
    <mergeCell ref="F76:G76"/>
    <mergeCell ref="A77:A86"/>
    <mergeCell ref="B77:B86"/>
    <mergeCell ref="C77:C86"/>
    <mergeCell ref="F77:G77"/>
    <mergeCell ref="F78:G78"/>
    <mergeCell ref="D79:D84"/>
    <mergeCell ref="C100:C102"/>
    <mergeCell ref="C103:C105"/>
    <mergeCell ref="C106:C108"/>
    <mergeCell ref="D106:D111"/>
    <mergeCell ref="H106:H111"/>
    <mergeCell ref="C109:C111"/>
    <mergeCell ref="C93:C95"/>
    <mergeCell ref="D93:D95"/>
    <mergeCell ref="C96:H96"/>
    <mergeCell ref="C97:C99"/>
    <mergeCell ref="D97:D105"/>
    <mergeCell ref="H97:H105"/>
    <mergeCell ref="C112:C115"/>
    <mergeCell ref="A119:A122"/>
    <mergeCell ref="B119:B122"/>
    <mergeCell ref="C119:H119"/>
    <mergeCell ref="C120:C122"/>
    <mergeCell ref="A123:A124"/>
    <mergeCell ref="B123:B124"/>
    <mergeCell ref="C123:H123"/>
    <mergeCell ref="H112:H115"/>
    <mergeCell ref="A116:A118"/>
    <mergeCell ref="B116:B118"/>
    <mergeCell ref="C116:H116"/>
    <mergeCell ref="C117:C118"/>
    <mergeCell ref="A127:B127"/>
    <mergeCell ref="C127:H127"/>
    <mergeCell ref="A125:A126"/>
    <mergeCell ref="B125:B126"/>
    <mergeCell ref="C125:C126"/>
    <mergeCell ref="D125:D126"/>
    <mergeCell ref="H125:H126"/>
    <mergeCell ref="A140:B140"/>
    <mergeCell ref="C140:H140"/>
    <mergeCell ref="F141:G141"/>
    <mergeCell ref="A142:A143"/>
    <mergeCell ref="B142:B143"/>
    <mergeCell ref="C142:C143"/>
    <mergeCell ref="D142:D143"/>
    <mergeCell ref="F142:G1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1"/>
  <sheetViews>
    <sheetView zoomScale="80" zoomScaleNormal="80" workbookViewId="0"/>
  </sheetViews>
  <sheetFormatPr defaultRowHeight="15.75" x14ac:dyDescent="0.25"/>
  <cols>
    <col min="1" max="1" width="6.28515625" style="108" customWidth="1"/>
    <col min="2" max="2" width="12.42578125" style="108" customWidth="1"/>
    <col min="3" max="3" width="49" style="108" customWidth="1"/>
    <col min="4" max="4" width="14.28515625" style="108" customWidth="1"/>
    <col min="5" max="5" width="13.7109375" style="108" customWidth="1"/>
    <col min="6" max="7" width="17" style="108" customWidth="1"/>
    <col min="8" max="8" width="65.5703125" style="108" customWidth="1"/>
    <col min="9" max="16384" width="9.140625" style="108"/>
  </cols>
  <sheetData>
    <row r="1" spans="1:8" x14ac:dyDescent="0.25">
      <c r="A1" s="62"/>
      <c r="B1" s="95"/>
      <c r="C1" s="62"/>
      <c r="D1" s="119"/>
      <c r="E1" s="119"/>
      <c r="F1" s="62"/>
      <c r="G1" s="120"/>
      <c r="H1" s="121" t="s">
        <v>0</v>
      </c>
    </row>
    <row r="2" spans="1:8" x14ac:dyDescent="0.25">
      <c r="A2" s="62"/>
      <c r="B2" s="95"/>
      <c r="C2" s="62"/>
      <c r="D2" s="119"/>
      <c r="E2" s="62"/>
      <c r="F2" s="62"/>
      <c r="G2" s="120"/>
      <c r="H2" s="122" t="s">
        <v>62</v>
      </c>
    </row>
    <row r="3" spans="1:8" x14ac:dyDescent="0.25">
      <c r="A3" s="62"/>
      <c r="B3" s="95"/>
      <c r="C3" s="62"/>
      <c r="D3" s="119"/>
      <c r="E3" s="119"/>
      <c r="F3" s="62"/>
      <c r="G3" s="120"/>
      <c r="H3" s="123" t="s">
        <v>1</v>
      </c>
    </row>
    <row r="4" spans="1:8" x14ac:dyDescent="0.25">
      <c r="A4" s="62"/>
      <c r="B4" s="95"/>
      <c r="C4" s="62"/>
      <c r="D4" s="119"/>
      <c r="E4" s="124"/>
      <c r="F4" s="124"/>
      <c r="G4" s="120"/>
      <c r="H4" s="125"/>
    </row>
    <row r="5" spans="1:8" x14ac:dyDescent="0.25">
      <c r="A5" s="62"/>
      <c r="B5" s="95"/>
      <c r="C5" s="62"/>
      <c r="D5" s="119"/>
      <c r="E5" s="126"/>
      <c r="F5" s="120"/>
      <c r="G5" s="120"/>
      <c r="H5" s="127" t="s">
        <v>199</v>
      </c>
    </row>
    <row r="6" spans="1:8" x14ac:dyDescent="0.25">
      <c r="A6" s="62"/>
      <c r="B6" s="95"/>
      <c r="C6" s="62"/>
      <c r="D6" s="119"/>
      <c r="E6" s="62"/>
      <c r="F6" s="128"/>
      <c r="G6" s="129"/>
      <c r="H6" s="128"/>
    </row>
    <row r="7" spans="1:8" x14ac:dyDescent="0.25">
      <c r="A7" s="303" t="s">
        <v>10</v>
      </c>
      <c r="B7" s="303"/>
      <c r="C7" s="303"/>
      <c r="D7" s="303"/>
      <c r="E7" s="303"/>
      <c r="F7" s="303"/>
      <c r="G7" s="303"/>
      <c r="H7" s="303"/>
    </row>
    <row r="8" spans="1:8" x14ac:dyDescent="0.25">
      <c r="A8" s="303" t="s">
        <v>397</v>
      </c>
      <c r="B8" s="303"/>
      <c r="C8" s="303"/>
      <c r="D8" s="303"/>
      <c r="E8" s="303"/>
      <c r="F8" s="303"/>
      <c r="G8" s="303"/>
      <c r="H8" s="303"/>
    </row>
    <row r="9" spans="1:8" x14ac:dyDescent="0.25">
      <c r="A9" s="303" t="s">
        <v>725</v>
      </c>
      <c r="B9" s="303"/>
      <c r="C9" s="303"/>
      <c r="D9" s="303"/>
      <c r="E9" s="303"/>
      <c r="F9" s="303"/>
      <c r="G9" s="303"/>
      <c r="H9" s="303"/>
    </row>
    <row r="10" spans="1:8" x14ac:dyDescent="0.25">
      <c r="A10" s="270" t="s">
        <v>106</v>
      </c>
      <c r="B10" s="270"/>
      <c r="C10" s="270"/>
      <c r="D10" s="270"/>
      <c r="E10" s="270"/>
      <c r="F10" s="270"/>
      <c r="G10" s="270"/>
      <c r="H10" s="270"/>
    </row>
    <row r="11" spans="1:8" x14ac:dyDescent="0.25">
      <c r="A11" s="130"/>
      <c r="B11" s="131"/>
      <c r="C11" s="132"/>
      <c r="D11" s="130"/>
      <c r="E11" s="130"/>
      <c r="F11" s="130"/>
      <c r="G11" s="130"/>
      <c r="H11" s="132"/>
    </row>
    <row r="12" spans="1:8" ht="47.25" x14ac:dyDescent="0.25">
      <c r="A12" s="133" t="s">
        <v>4</v>
      </c>
      <c r="B12" s="133" t="s">
        <v>7</v>
      </c>
      <c r="C12" s="133" t="s">
        <v>5</v>
      </c>
      <c r="D12" s="133" t="s">
        <v>6</v>
      </c>
      <c r="E12" s="133" t="s">
        <v>8</v>
      </c>
      <c r="F12" s="161" t="s">
        <v>200</v>
      </c>
      <c r="G12" s="161" t="s">
        <v>201</v>
      </c>
      <c r="H12" s="133" t="s">
        <v>9</v>
      </c>
    </row>
    <row r="13" spans="1:8" x14ac:dyDescent="0.25">
      <c r="A13" s="294" t="s">
        <v>202</v>
      </c>
      <c r="B13" s="294"/>
      <c r="C13" s="294"/>
      <c r="D13" s="294"/>
      <c r="E13" s="294"/>
      <c r="F13" s="294"/>
      <c r="G13" s="294"/>
      <c r="H13" s="294"/>
    </row>
    <row r="14" spans="1:8" x14ac:dyDescent="0.25">
      <c r="A14" s="289" t="s">
        <v>203</v>
      </c>
      <c r="B14" s="289"/>
      <c r="C14" s="289"/>
      <c r="D14" s="289"/>
      <c r="E14" s="289"/>
      <c r="F14" s="289"/>
      <c r="G14" s="289"/>
      <c r="H14" s="289"/>
    </row>
    <row r="15" spans="1:8" x14ac:dyDescent="0.25">
      <c r="A15" s="141"/>
      <c r="B15" s="133" t="s">
        <v>20</v>
      </c>
      <c r="C15" s="289" t="s">
        <v>204</v>
      </c>
      <c r="D15" s="289"/>
      <c r="E15" s="289"/>
      <c r="F15" s="289"/>
      <c r="G15" s="289"/>
      <c r="H15" s="289"/>
    </row>
    <row r="16" spans="1:8" ht="24.75" customHeight="1" x14ac:dyDescent="0.25">
      <c r="A16" s="293">
        <v>1</v>
      </c>
      <c r="B16" s="289" t="s">
        <v>22</v>
      </c>
      <c r="C16" s="293" t="s">
        <v>204</v>
      </c>
      <c r="D16" s="293" t="s">
        <v>11</v>
      </c>
      <c r="E16" s="134" t="s">
        <v>12</v>
      </c>
      <c r="F16" s="293" t="s">
        <v>14</v>
      </c>
      <c r="G16" s="293"/>
      <c r="H16" s="302" t="s">
        <v>205</v>
      </c>
    </row>
    <row r="17" spans="1:8" ht="27.75" customHeight="1" x14ac:dyDescent="0.25">
      <c r="A17" s="293"/>
      <c r="B17" s="289"/>
      <c r="C17" s="293"/>
      <c r="D17" s="293"/>
      <c r="E17" s="134" t="s">
        <v>206</v>
      </c>
      <c r="F17" s="293" t="s">
        <v>14</v>
      </c>
      <c r="G17" s="293"/>
      <c r="H17" s="302"/>
    </row>
    <row r="18" spans="1:8" ht="25.5" customHeight="1" x14ac:dyDescent="0.25">
      <c r="A18" s="293"/>
      <c r="B18" s="289"/>
      <c r="C18" s="293"/>
      <c r="D18" s="134" t="s">
        <v>2</v>
      </c>
      <c r="E18" s="134"/>
      <c r="F18" s="293" t="s">
        <v>14</v>
      </c>
      <c r="G18" s="293"/>
      <c r="H18" s="302"/>
    </row>
    <row r="19" spans="1:8" x14ac:dyDescent="0.25">
      <c r="A19" s="262" t="s">
        <v>108</v>
      </c>
      <c r="B19" s="262"/>
      <c r="C19" s="258" t="s">
        <v>109</v>
      </c>
      <c r="D19" s="258"/>
      <c r="E19" s="258"/>
      <c r="F19" s="258"/>
      <c r="G19" s="258"/>
      <c r="H19" s="258"/>
    </row>
    <row r="20" spans="1:8" ht="26.25" customHeight="1" x14ac:dyDescent="0.25">
      <c r="A20" s="293">
        <v>2</v>
      </c>
      <c r="B20" s="289" t="s">
        <v>23</v>
      </c>
      <c r="C20" s="293" t="s">
        <v>207</v>
      </c>
      <c r="D20" s="293" t="s">
        <v>11</v>
      </c>
      <c r="E20" s="134" t="s">
        <v>12</v>
      </c>
      <c r="F20" s="293" t="s">
        <v>14</v>
      </c>
      <c r="G20" s="293"/>
      <c r="H20" s="302" t="s">
        <v>52</v>
      </c>
    </row>
    <row r="21" spans="1:8" ht="31.5" customHeight="1" x14ac:dyDescent="0.25">
      <c r="A21" s="293"/>
      <c r="B21" s="289"/>
      <c r="C21" s="293"/>
      <c r="D21" s="293"/>
      <c r="E21" s="134" t="s">
        <v>206</v>
      </c>
      <c r="F21" s="293" t="s">
        <v>14</v>
      </c>
      <c r="G21" s="293"/>
      <c r="H21" s="302"/>
    </row>
    <row r="22" spans="1:8" ht="24" customHeight="1" x14ac:dyDescent="0.25">
      <c r="A22" s="293"/>
      <c r="B22" s="289"/>
      <c r="C22" s="293"/>
      <c r="D22" s="134" t="s">
        <v>2</v>
      </c>
      <c r="E22" s="134"/>
      <c r="F22" s="293" t="s">
        <v>14</v>
      </c>
      <c r="G22" s="293"/>
      <c r="H22" s="302"/>
    </row>
    <row r="23" spans="1:8" x14ac:dyDescent="0.25">
      <c r="A23" s="293">
        <v>3</v>
      </c>
      <c r="B23" s="289" t="s">
        <v>24</v>
      </c>
      <c r="C23" s="293" t="s">
        <v>208</v>
      </c>
      <c r="D23" s="293" t="s">
        <v>11</v>
      </c>
      <c r="E23" s="134" t="s">
        <v>12</v>
      </c>
      <c r="F23" s="293" t="s">
        <v>14</v>
      </c>
      <c r="G23" s="293"/>
      <c r="H23" s="302" t="s">
        <v>52</v>
      </c>
    </row>
    <row r="24" spans="1:8" ht="31.5" x14ac:dyDescent="0.25">
      <c r="A24" s="293"/>
      <c r="B24" s="289"/>
      <c r="C24" s="293"/>
      <c r="D24" s="293"/>
      <c r="E24" s="134" t="s">
        <v>209</v>
      </c>
      <c r="F24" s="293" t="s">
        <v>14</v>
      </c>
      <c r="G24" s="293"/>
      <c r="H24" s="302"/>
    </row>
    <row r="25" spans="1:8" x14ac:dyDescent="0.25">
      <c r="A25" s="293"/>
      <c r="B25" s="289"/>
      <c r="C25" s="293"/>
      <c r="D25" s="134" t="s">
        <v>2</v>
      </c>
      <c r="E25" s="134"/>
      <c r="F25" s="293" t="s">
        <v>14</v>
      </c>
      <c r="G25" s="293"/>
      <c r="H25" s="302"/>
    </row>
    <row r="26" spans="1:8" x14ac:dyDescent="0.25">
      <c r="A26" s="293">
        <v>4</v>
      </c>
      <c r="B26" s="289" t="s">
        <v>210</v>
      </c>
      <c r="C26" s="289" t="s">
        <v>211</v>
      </c>
      <c r="D26" s="289"/>
      <c r="E26" s="289"/>
      <c r="F26" s="289"/>
      <c r="G26" s="289"/>
      <c r="H26" s="289"/>
    </row>
    <row r="27" spans="1:8" x14ac:dyDescent="0.25">
      <c r="A27" s="293"/>
      <c r="B27" s="289"/>
      <c r="C27" s="293" t="s">
        <v>212</v>
      </c>
      <c r="D27" s="293" t="s">
        <v>11</v>
      </c>
      <c r="E27" s="134" t="s">
        <v>12</v>
      </c>
      <c r="F27" s="135">
        <v>5237</v>
      </c>
      <c r="G27" s="135">
        <v>6284.4</v>
      </c>
      <c r="H27" s="293" t="s">
        <v>213</v>
      </c>
    </row>
    <row r="28" spans="1:8" x14ac:dyDescent="0.25">
      <c r="A28" s="293"/>
      <c r="B28" s="289"/>
      <c r="C28" s="293"/>
      <c r="D28" s="293"/>
      <c r="E28" s="134" t="s">
        <v>13</v>
      </c>
      <c r="F28" s="135">
        <v>5750</v>
      </c>
      <c r="G28" s="135">
        <v>6900</v>
      </c>
      <c r="H28" s="293"/>
    </row>
    <row r="29" spans="1:8" x14ac:dyDescent="0.25">
      <c r="A29" s="293"/>
      <c r="B29" s="289"/>
      <c r="C29" s="293"/>
      <c r="D29" s="293" t="s">
        <v>11</v>
      </c>
      <c r="E29" s="134" t="s">
        <v>98</v>
      </c>
      <c r="F29" s="136">
        <v>9624</v>
      </c>
      <c r="G29" s="135">
        <v>11548.8</v>
      </c>
      <c r="H29" s="297" t="s">
        <v>214</v>
      </c>
    </row>
    <row r="30" spans="1:8" x14ac:dyDescent="0.25">
      <c r="A30" s="293"/>
      <c r="B30" s="289"/>
      <c r="C30" s="293"/>
      <c r="D30" s="293"/>
      <c r="E30" s="134" t="s">
        <v>13</v>
      </c>
      <c r="F30" s="136">
        <v>12836</v>
      </c>
      <c r="G30" s="135">
        <v>15403.199999999999</v>
      </c>
      <c r="H30" s="297"/>
    </row>
    <row r="31" spans="1:8" x14ac:dyDescent="0.25">
      <c r="A31" s="293"/>
      <c r="B31" s="289"/>
      <c r="C31" s="293" t="s">
        <v>215</v>
      </c>
      <c r="D31" s="293" t="s">
        <v>11</v>
      </c>
      <c r="E31" s="134" t="s">
        <v>98</v>
      </c>
      <c r="F31" s="136">
        <v>11042</v>
      </c>
      <c r="G31" s="135">
        <v>13250.4</v>
      </c>
      <c r="H31" s="297"/>
    </row>
    <row r="32" spans="1:8" x14ac:dyDescent="0.25">
      <c r="A32" s="293"/>
      <c r="B32" s="289"/>
      <c r="C32" s="293"/>
      <c r="D32" s="293"/>
      <c r="E32" s="134" t="s">
        <v>13</v>
      </c>
      <c r="F32" s="136">
        <v>15539</v>
      </c>
      <c r="G32" s="135">
        <v>18646.8</v>
      </c>
      <c r="H32" s="297"/>
    </row>
    <row r="33" spans="1:8" x14ac:dyDescent="0.25">
      <c r="A33" s="293"/>
      <c r="B33" s="289"/>
      <c r="C33" s="293" t="s">
        <v>216</v>
      </c>
      <c r="D33" s="293" t="s">
        <v>11</v>
      </c>
      <c r="E33" s="134" t="s">
        <v>98</v>
      </c>
      <c r="F33" s="136">
        <v>15620</v>
      </c>
      <c r="G33" s="135">
        <v>18744</v>
      </c>
      <c r="H33" s="297"/>
    </row>
    <row r="34" spans="1:8" x14ac:dyDescent="0.25">
      <c r="A34" s="293"/>
      <c r="B34" s="289"/>
      <c r="C34" s="293"/>
      <c r="D34" s="293"/>
      <c r="E34" s="134" t="s">
        <v>13</v>
      </c>
      <c r="F34" s="136">
        <v>17725</v>
      </c>
      <c r="G34" s="135">
        <v>21270</v>
      </c>
      <c r="H34" s="297"/>
    </row>
    <row r="35" spans="1:8" x14ac:dyDescent="0.25">
      <c r="A35" s="293"/>
      <c r="B35" s="289"/>
      <c r="C35" s="293" t="s">
        <v>217</v>
      </c>
      <c r="D35" s="293" t="s">
        <v>11</v>
      </c>
      <c r="E35" s="134" t="s">
        <v>98</v>
      </c>
      <c r="F35" s="136">
        <v>18879</v>
      </c>
      <c r="G35" s="135">
        <v>22654.799999999999</v>
      </c>
      <c r="H35" s="297"/>
    </row>
    <row r="36" spans="1:8" x14ac:dyDescent="0.25">
      <c r="A36" s="293"/>
      <c r="B36" s="289"/>
      <c r="C36" s="293"/>
      <c r="D36" s="293"/>
      <c r="E36" s="134" t="s">
        <v>13</v>
      </c>
      <c r="F36" s="136">
        <v>22352</v>
      </c>
      <c r="G36" s="135">
        <v>26822.399999999998</v>
      </c>
      <c r="H36" s="297"/>
    </row>
    <row r="37" spans="1:8" x14ac:dyDescent="0.25">
      <c r="A37" s="293"/>
      <c r="B37" s="289"/>
      <c r="C37" s="293" t="s">
        <v>218</v>
      </c>
      <c r="D37" s="293" t="s">
        <v>11</v>
      </c>
      <c r="E37" s="134" t="s">
        <v>98</v>
      </c>
      <c r="F37" s="136">
        <v>23085</v>
      </c>
      <c r="G37" s="135">
        <v>27702</v>
      </c>
      <c r="H37" s="297"/>
    </row>
    <row r="38" spans="1:8" x14ac:dyDescent="0.25">
      <c r="A38" s="293"/>
      <c r="B38" s="289"/>
      <c r="C38" s="293"/>
      <c r="D38" s="293"/>
      <c r="E38" s="134" t="s">
        <v>13</v>
      </c>
      <c r="F38" s="136">
        <v>25540</v>
      </c>
      <c r="G38" s="135">
        <v>30648</v>
      </c>
      <c r="H38" s="297"/>
    </row>
    <row r="39" spans="1:8" x14ac:dyDescent="0.25">
      <c r="A39" s="293"/>
      <c r="B39" s="289"/>
      <c r="C39" s="293" t="s">
        <v>219</v>
      </c>
      <c r="D39" s="293" t="s">
        <v>11</v>
      </c>
      <c r="E39" s="134" t="s">
        <v>98</v>
      </c>
      <c r="F39" s="136">
        <v>23232</v>
      </c>
      <c r="G39" s="135">
        <v>27878.399999999998</v>
      </c>
      <c r="H39" s="297"/>
    </row>
    <row r="40" spans="1:8" x14ac:dyDescent="0.25">
      <c r="A40" s="293"/>
      <c r="B40" s="289"/>
      <c r="C40" s="293"/>
      <c r="D40" s="293"/>
      <c r="E40" s="134" t="s">
        <v>13</v>
      </c>
      <c r="F40" s="136">
        <v>26302</v>
      </c>
      <c r="G40" s="135">
        <v>31562.399999999998</v>
      </c>
      <c r="H40" s="297"/>
    </row>
    <row r="41" spans="1:8" x14ac:dyDescent="0.25">
      <c r="A41" s="293"/>
      <c r="B41" s="289"/>
      <c r="C41" s="293" t="s">
        <v>220</v>
      </c>
      <c r="D41" s="293" t="s">
        <v>11</v>
      </c>
      <c r="E41" s="134" t="s">
        <v>98</v>
      </c>
      <c r="F41" s="136">
        <v>30889</v>
      </c>
      <c r="G41" s="135">
        <v>37066.799999999996</v>
      </c>
      <c r="H41" s="297"/>
    </row>
    <row r="42" spans="1:8" x14ac:dyDescent="0.25">
      <c r="A42" s="293"/>
      <c r="B42" s="289"/>
      <c r="C42" s="293"/>
      <c r="D42" s="293"/>
      <c r="E42" s="134" t="s">
        <v>13</v>
      </c>
      <c r="F42" s="136">
        <v>34268</v>
      </c>
      <c r="G42" s="135">
        <v>41121.599999999999</v>
      </c>
      <c r="H42" s="297"/>
    </row>
    <row r="43" spans="1:8" x14ac:dyDescent="0.25">
      <c r="A43" s="293"/>
      <c r="B43" s="289"/>
      <c r="C43" s="293" t="s">
        <v>221</v>
      </c>
      <c r="D43" s="293" t="s">
        <v>11</v>
      </c>
      <c r="E43" s="134" t="s">
        <v>12</v>
      </c>
      <c r="F43" s="136">
        <v>33997</v>
      </c>
      <c r="G43" s="135">
        <v>40796.400000000001</v>
      </c>
      <c r="H43" s="297"/>
    </row>
    <row r="44" spans="1:8" x14ac:dyDescent="0.25">
      <c r="A44" s="293"/>
      <c r="B44" s="289"/>
      <c r="C44" s="293"/>
      <c r="D44" s="293"/>
      <c r="E44" s="134" t="s">
        <v>13</v>
      </c>
      <c r="F44" s="136">
        <v>37420</v>
      </c>
      <c r="G44" s="135">
        <v>44904</v>
      </c>
      <c r="H44" s="297"/>
    </row>
    <row r="45" spans="1:8" x14ac:dyDescent="0.25">
      <c r="A45" s="293"/>
      <c r="B45" s="289"/>
      <c r="C45" s="293" t="s">
        <v>222</v>
      </c>
      <c r="D45" s="293" t="s">
        <v>11</v>
      </c>
      <c r="E45" s="134" t="s">
        <v>98</v>
      </c>
      <c r="F45" s="136">
        <v>41482</v>
      </c>
      <c r="G45" s="135">
        <v>49778.400000000001</v>
      </c>
      <c r="H45" s="297"/>
    </row>
    <row r="46" spans="1:8" x14ac:dyDescent="0.25">
      <c r="A46" s="293"/>
      <c r="B46" s="289"/>
      <c r="C46" s="293"/>
      <c r="D46" s="293"/>
      <c r="E46" s="134" t="s">
        <v>13</v>
      </c>
      <c r="F46" s="136">
        <v>45094</v>
      </c>
      <c r="G46" s="135">
        <v>54112.799999999996</v>
      </c>
      <c r="H46" s="297"/>
    </row>
    <row r="47" spans="1:8" x14ac:dyDescent="0.25">
      <c r="A47" s="293"/>
      <c r="B47" s="289"/>
      <c r="C47" s="293" t="s">
        <v>223</v>
      </c>
      <c r="D47" s="293" t="s">
        <v>11</v>
      </c>
      <c r="E47" s="134" t="s">
        <v>98</v>
      </c>
      <c r="F47" s="136">
        <v>48819</v>
      </c>
      <c r="G47" s="135">
        <v>58582.799999999996</v>
      </c>
      <c r="H47" s="297"/>
    </row>
    <row r="48" spans="1:8" x14ac:dyDescent="0.25">
      <c r="A48" s="293"/>
      <c r="B48" s="289"/>
      <c r="C48" s="293"/>
      <c r="D48" s="293"/>
      <c r="E48" s="134" t="s">
        <v>13</v>
      </c>
      <c r="F48" s="136">
        <v>52771</v>
      </c>
      <c r="G48" s="135">
        <v>63325.2</v>
      </c>
      <c r="H48" s="297"/>
    </row>
    <row r="49" spans="1:8" x14ac:dyDescent="0.25">
      <c r="A49" s="293"/>
      <c r="B49" s="289"/>
      <c r="C49" s="293" t="s">
        <v>224</v>
      </c>
      <c r="D49" s="293" t="s">
        <v>11</v>
      </c>
      <c r="E49" s="134" t="s">
        <v>12</v>
      </c>
      <c r="F49" s="136">
        <v>56235</v>
      </c>
      <c r="G49" s="135">
        <v>67482</v>
      </c>
      <c r="H49" s="297"/>
    </row>
    <row r="50" spans="1:8" x14ac:dyDescent="0.25">
      <c r="A50" s="293"/>
      <c r="B50" s="289"/>
      <c r="C50" s="293"/>
      <c r="D50" s="293"/>
      <c r="E50" s="134" t="s">
        <v>13</v>
      </c>
      <c r="F50" s="136">
        <v>60445</v>
      </c>
      <c r="G50" s="135">
        <v>72534</v>
      </c>
      <c r="H50" s="297"/>
    </row>
    <row r="51" spans="1:8" x14ac:dyDescent="0.25">
      <c r="A51" s="293"/>
      <c r="B51" s="289"/>
      <c r="C51" s="293" t="s">
        <v>225</v>
      </c>
      <c r="D51" s="293" t="s">
        <v>11</v>
      </c>
      <c r="E51" s="134" t="s">
        <v>98</v>
      </c>
      <c r="F51" s="136">
        <v>65007</v>
      </c>
      <c r="G51" s="135">
        <v>78008.399999999994</v>
      </c>
      <c r="H51" s="297"/>
    </row>
    <row r="52" spans="1:8" x14ac:dyDescent="0.25">
      <c r="A52" s="293"/>
      <c r="B52" s="289"/>
      <c r="C52" s="293"/>
      <c r="D52" s="293"/>
      <c r="E52" s="134" t="s">
        <v>13</v>
      </c>
      <c r="F52" s="136">
        <v>69793</v>
      </c>
      <c r="G52" s="135">
        <v>83751.599999999991</v>
      </c>
      <c r="H52" s="297"/>
    </row>
    <row r="53" spans="1:8" x14ac:dyDescent="0.25">
      <c r="A53" s="293"/>
      <c r="B53" s="289"/>
      <c r="C53" s="293" t="s">
        <v>226</v>
      </c>
      <c r="D53" s="293" t="s">
        <v>11</v>
      </c>
      <c r="E53" s="134" t="s">
        <v>98</v>
      </c>
      <c r="F53" s="136">
        <v>70479</v>
      </c>
      <c r="G53" s="135">
        <v>84574.8</v>
      </c>
      <c r="H53" s="297"/>
    </row>
    <row r="54" spans="1:8" x14ac:dyDescent="0.25">
      <c r="A54" s="293"/>
      <c r="B54" s="289"/>
      <c r="C54" s="293"/>
      <c r="D54" s="293"/>
      <c r="E54" s="134" t="s">
        <v>13</v>
      </c>
      <c r="F54" s="136">
        <v>75088</v>
      </c>
      <c r="G54" s="135">
        <v>90105.599999999991</v>
      </c>
      <c r="H54" s="297"/>
    </row>
    <row r="55" spans="1:8" x14ac:dyDescent="0.25">
      <c r="A55" s="293"/>
      <c r="B55" s="289"/>
      <c r="C55" s="293" t="s">
        <v>227</v>
      </c>
      <c r="D55" s="293" t="s">
        <v>11</v>
      </c>
      <c r="E55" s="134" t="s">
        <v>98</v>
      </c>
      <c r="F55" s="136">
        <v>79009</v>
      </c>
      <c r="G55" s="135">
        <v>94810.8</v>
      </c>
      <c r="H55" s="297"/>
    </row>
    <row r="56" spans="1:8" x14ac:dyDescent="0.25">
      <c r="A56" s="293"/>
      <c r="B56" s="289"/>
      <c r="C56" s="293"/>
      <c r="D56" s="293"/>
      <c r="E56" s="134" t="s">
        <v>13</v>
      </c>
      <c r="F56" s="136">
        <v>84023</v>
      </c>
      <c r="G56" s="135">
        <v>100827.59999999999</v>
      </c>
      <c r="H56" s="297"/>
    </row>
    <row r="57" spans="1:8" x14ac:dyDescent="0.25">
      <c r="A57" s="293"/>
      <c r="B57" s="289"/>
      <c r="C57" s="293" t="s">
        <v>228</v>
      </c>
      <c r="D57" s="293" t="s">
        <v>11</v>
      </c>
      <c r="E57" s="134" t="s">
        <v>98</v>
      </c>
      <c r="F57" s="136">
        <v>86219</v>
      </c>
      <c r="G57" s="135">
        <v>103462.8</v>
      </c>
      <c r="H57" s="297"/>
    </row>
    <row r="58" spans="1:8" x14ac:dyDescent="0.25">
      <c r="A58" s="293"/>
      <c r="B58" s="289"/>
      <c r="C58" s="293"/>
      <c r="D58" s="293"/>
      <c r="E58" s="134" t="s">
        <v>13</v>
      </c>
      <c r="F58" s="136">
        <v>91458</v>
      </c>
      <c r="G58" s="135">
        <v>109749.59999999999</v>
      </c>
      <c r="H58" s="297"/>
    </row>
    <row r="59" spans="1:8" x14ac:dyDescent="0.25">
      <c r="A59" s="293"/>
      <c r="B59" s="289"/>
      <c r="C59" s="293" t="s">
        <v>229</v>
      </c>
      <c r="D59" s="293" t="s">
        <v>11</v>
      </c>
      <c r="E59" s="134" t="s">
        <v>98</v>
      </c>
      <c r="F59" s="136">
        <v>93496</v>
      </c>
      <c r="G59" s="135">
        <v>112195.2</v>
      </c>
      <c r="H59" s="297"/>
    </row>
    <row r="60" spans="1:8" x14ac:dyDescent="0.25">
      <c r="A60" s="293"/>
      <c r="B60" s="289"/>
      <c r="C60" s="293"/>
      <c r="D60" s="293"/>
      <c r="E60" s="134" t="s">
        <v>13</v>
      </c>
      <c r="F60" s="136">
        <v>99023</v>
      </c>
      <c r="G60" s="135">
        <v>118827.59999999999</v>
      </c>
      <c r="H60" s="297"/>
    </row>
    <row r="61" spans="1:8" x14ac:dyDescent="0.25">
      <c r="A61" s="293"/>
      <c r="B61" s="289"/>
      <c r="C61" s="293" t="s">
        <v>230</v>
      </c>
      <c r="D61" s="293" t="s">
        <v>11</v>
      </c>
      <c r="E61" s="134" t="s">
        <v>98</v>
      </c>
      <c r="F61" s="136">
        <v>100706</v>
      </c>
      <c r="G61" s="135">
        <v>120847.2</v>
      </c>
      <c r="H61" s="297"/>
    </row>
    <row r="62" spans="1:8" x14ac:dyDescent="0.25">
      <c r="A62" s="293"/>
      <c r="B62" s="289"/>
      <c r="C62" s="293"/>
      <c r="D62" s="293"/>
      <c r="E62" s="134" t="s">
        <v>13</v>
      </c>
      <c r="F62" s="136">
        <v>106485</v>
      </c>
      <c r="G62" s="135">
        <v>127782</v>
      </c>
      <c r="H62" s="297"/>
    </row>
    <row r="63" spans="1:8" x14ac:dyDescent="0.25">
      <c r="A63" s="293"/>
      <c r="B63" s="289"/>
      <c r="C63" s="293" t="s">
        <v>231</v>
      </c>
      <c r="D63" s="293" t="s">
        <v>11</v>
      </c>
      <c r="E63" s="134" t="s">
        <v>98</v>
      </c>
      <c r="F63" s="136">
        <v>107910</v>
      </c>
      <c r="G63" s="135">
        <v>129492</v>
      </c>
      <c r="H63" s="297"/>
    </row>
    <row r="64" spans="1:8" x14ac:dyDescent="0.25">
      <c r="A64" s="293"/>
      <c r="B64" s="289"/>
      <c r="C64" s="293"/>
      <c r="D64" s="293"/>
      <c r="E64" s="134" t="s">
        <v>13</v>
      </c>
      <c r="F64" s="136">
        <v>113946</v>
      </c>
      <c r="G64" s="135">
        <v>136735.19999999998</v>
      </c>
      <c r="H64" s="297"/>
    </row>
    <row r="65" spans="1:8" x14ac:dyDescent="0.25">
      <c r="A65" s="293"/>
      <c r="B65" s="289"/>
      <c r="C65" s="293" t="s">
        <v>232</v>
      </c>
      <c r="D65" s="293" t="s">
        <v>11</v>
      </c>
      <c r="E65" s="134" t="s">
        <v>12</v>
      </c>
      <c r="F65" s="136">
        <v>116446</v>
      </c>
      <c r="G65" s="135">
        <v>139735.19999999998</v>
      </c>
      <c r="H65" s="297"/>
    </row>
    <row r="66" spans="1:8" x14ac:dyDescent="0.25">
      <c r="A66" s="293"/>
      <c r="B66" s="289"/>
      <c r="C66" s="293"/>
      <c r="D66" s="293"/>
      <c r="E66" s="134" t="s">
        <v>13</v>
      </c>
      <c r="F66" s="136">
        <v>122731</v>
      </c>
      <c r="G66" s="135">
        <v>147277.19999999998</v>
      </c>
      <c r="H66" s="297"/>
    </row>
    <row r="67" spans="1:8" x14ac:dyDescent="0.25">
      <c r="A67" s="293"/>
      <c r="B67" s="289"/>
      <c r="C67" s="293" t="s">
        <v>233</v>
      </c>
      <c r="D67" s="293" t="s">
        <v>11</v>
      </c>
      <c r="E67" s="134" t="s">
        <v>98</v>
      </c>
      <c r="F67" s="136">
        <v>123689</v>
      </c>
      <c r="G67" s="135">
        <v>148426.79999999999</v>
      </c>
      <c r="H67" s="297"/>
    </row>
    <row r="68" spans="1:8" x14ac:dyDescent="0.25">
      <c r="A68" s="293"/>
      <c r="B68" s="289"/>
      <c r="C68" s="293"/>
      <c r="D68" s="293"/>
      <c r="E68" s="134" t="s">
        <v>13</v>
      </c>
      <c r="F68" s="136">
        <v>130268</v>
      </c>
      <c r="G68" s="135">
        <v>156321.60000000001</v>
      </c>
      <c r="H68" s="297"/>
    </row>
    <row r="69" spans="1:8" x14ac:dyDescent="0.25">
      <c r="A69" s="293"/>
      <c r="B69" s="289"/>
      <c r="C69" s="293" t="s">
        <v>234</v>
      </c>
      <c r="D69" s="293" t="s">
        <v>11</v>
      </c>
      <c r="E69" s="134" t="s">
        <v>98</v>
      </c>
      <c r="F69" s="136">
        <v>128440</v>
      </c>
      <c r="G69" s="135">
        <v>154128</v>
      </c>
      <c r="H69" s="297"/>
    </row>
    <row r="70" spans="1:8" x14ac:dyDescent="0.25">
      <c r="A70" s="293"/>
      <c r="B70" s="289"/>
      <c r="C70" s="293"/>
      <c r="D70" s="293"/>
      <c r="E70" s="134" t="s">
        <v>13</v>
      </c>
      <c r="F70" s="136">
        <v>135184</v>
      </c>
      <c r="G70" s="135">
        <v>162220.79999999999</v>
      </c>
      <c r="H70" s="297"/>
    </row>
    <row r="71" spans="1:8" x14ac:dyDescent="0.25">
      <c r="A71" s="293"/>
      <c r="B71" s="289"/>
      <c r="C71" s="293" t="s">
        <v>235</v>
      </c>
      <c r="D71" s="293" t="s">
        <v>11</v>
      </c>
      <c r="E71" s="134" t="s">
        <v>98</v>
      </c>
      <c r="F71" s="136">
        <v>135436</v>
      </c>
      <c r="G71" s="135">
        <v>162523.19999999998</v>
      </c>
      <c r="H71" s="297"/>
    </row>
    <row r="72" spans="1:8" x14ac:dyDescent="0.25">
      <c r="A72" s="293"/>
      <c r="B72" s="289"/>
      <c r="C72" s="293"/>
      <c r="D72" s="293"/>
      <c r="E72" s="134" t="s">
        <v>13</v>
      </c>
      <c r="F72" s="136">
        <v>142504</v>
      </c>
      <c r="G72" s="135">
        <v>171004.79999999999</v>
      </c>
      <c r="H72" s="297"/>
    </row>
    <row r="73" spans="1:8" x14ac:dyDescent="0.25">
      <c r="A73" s="293"/>
      <c r="B73" s="289"/>
      <c r="C73" s="293" t="s">
        <v>236</v>
      </c>
      <c r="D73" s="293" t="s">
        <v>11</v>
      </c>
      <c r="E73" s="134" t="s">
        <v>12</v>
      </c>
      <c r="F73" s="136">
        <v>143802</v>
      </c>
      <c r="G73" s="135">
        <v>172562.4</v>
      </c>
      <c r="H73" s="297"/>
    </row>
    <row r="74" spans="1:8" x14ac:dyDescent="0.25">
      <c r="A74" s="293"/>
      <c r="B74" s="289"/>
      <c r="C74" s="293"/>
      <c r="D74" s="293"/>
      <c r="E74" s="134" t="s">
        <v>13</v>
      </c>
      <c r="F74" s="136">
        <v>151119</v>
      </c>
      <c r="G74" s="135">
        <v>181342.8</v>
      </c>
      <c r="H74" s="297"/>
    </row>
    <row r="75" spans="1:8" x14ac:dyDescent="0.25">
      <c r="A75" s="293"/>
      <c r="B75" s="289"/>
      <c r="C75" s="293" t="s">
        <v>237</v>
      </c>
      <c r="D75" s="293" t="s">
        <v>11</v>
      </c>
      <c r="E75" s="134" t="s">
        <v>12</v>
      </c>
      <c r="F75" s="136">
        <v>150944</v>
      </c>
      <c r="G75" s="135">
        <v>181132.79999999999</v>
      </c>
      <c r="H75" s="297"/>
    </row>
    <row r="76" spans="1:8" x14ac:dyDescent="0.25">
      <c r="A76" s="293"/>
      <c r="B76" s="289"/>
      <c r="C76" s="293"/>
      <c r="D76" s="293"/>
      <c r="E76" s="134" t="s">
        <v>13</v>
      </c>
      <c r="F76" s="136">
        <v>158588</v>
      </c>
      <c r="G76" s="135">
        <v>190305.6</v>
      </c>
      <c r="H76" s="297"/>
    </row>
    <row r="77" spans="1:8" x14ac:dyDescent="0.25">
      <c r="A77" s="293"/>
      <c r="B77" s="289"/>
      <c r="C77" s="293" t="s">
        <v>238</v>
      </c>
      <c r="D77" s="293" t="s">
        <v>11</v>
      </c>
      <c r="E77" s="134" t="s">
        <v>12</v>
      </c>
      <c r="F77" s="136">
        <v>179490</v>
      </c>
      <c r="G77" s="135">
        <v>215388</v>
      </c>
      <c r="H77" s="297"/>
    </row>
    <row r="78" spans="1:8" x14ac:dyDescent="0.25">
      <c r="A78" s="293"/>
      <c r="B78" s="289"/>
      <c r="C78" s="293"/>
      <c r="D78" s="293"/>
      <c r="E78" s="134" t="s">
        <v>13</v>
      </c>
      <c r="F78" s="136">
        <v>186575</v>
      </c>
      <c r="G78" s="135">
        <v>223890</v>
      </c>
      <c r="H78" s="297"/>
    </row>
    <row r="79" spans="1:8" x14ac:dyDescent="0.25">
      <c r="A79" s="293"/>
      <c r="B79" s="289"/>
      <c r="C79" s="293" t="s">
        <v>239</v>
      </c>
      <c r="D79" s="293" t="s">
        <v>11</v>
      </c>
      <c r="E79" s="134" t="s">
        <v>12</v>
      </c>
      <c r="F79" s="136">
        <v>188974</v>
      </c>
      <c r="G79" s="135">
        <v>226768.8</v>
      </c>
      <c r="H79" s="297"/>
    </row>
    <row r="80" spans="1:8" x14ac:dyDescent="0.25">
      <c r="A80" s="293"/>
      <c r="B80" s="289"/>
      <c r="C80" s="293"/>
      <c r="D80" s="293"/>
      <c r="E80" s="134" t="s">
        <v>13</v>
      </c>
      <c r="F80" s="136">
        <v>196414</v>
      </c>
      <c r="G80" s="135">
        <v>235696.8</v>
      </c>
      <c r="H80" s="297"/>
    </row>
    <row r="81" spans="1:8" x14ac:dyDescent="0.25">
      <c r="A81" s="293"/>
      <c r="B81" s="289"/>
      <c r="C81" s="293" t="s">
        <v>240</v>
      </c>
      <c r="D81" s="293" t="s">
        <v>11</v>
      </c>
      <c r="E81" s="134" t="s">
        <v>12</v>
      </c>
      <c r="F81" s="136">
        <v>200210</v>
      </c>
      <c r="G81" s="135">
        <v>240252</v>
      </c>
      <c r="H81" s="297"/>
    </row>
    <row r="82" spans="1:8" x14ac:dyDescent="0.25">
      <c r="A82" s="293"/>
      <c r="B82" s="289"/>
      <c r="C82" s="293"/>
      <c r="D82" s="293"/>
      <c r="E82" s="134" t="s">
        <v>13</v>
      </c>
      <c r="F82" s="136">
        <v>208085</v>
      </c>
      <c r="G82" s="135">
        <v>249702</v>
      </c>
      <c r="H82" s="297"/>
    </row>
    <row r="83" spans="1:8" x14ac:dyDescent="0.25">
      <c r="A83" s="293"/>
      <c r="B83" s="289"/>
      <c r="C83" s="293" t="s">
        <v>241</v>
      </c>
      <c r="D83" s="293" t="s">
        <v>11</v>
      </c>
      <c r="E83" s="134" t="s">
        <v>12</v>
      </c>
      <c r="F83" s="136">
        <v>211447</v>
      </c>
      <c r="G83" s="135">
        <v>253736.4</v>
      </c>
      <c r="H83" s="297"/>
    </row>
    <row r="84" spans="1:8" x14ac:dyDescent="0.25">
      <c r="A84" s="293"/>
      <c r="B84" s="289"/>
      <c r="C84" s="293"/>
      <c r="D84" s="293"/>
      <c r="E84" s="134" t="s">
        <v>13</v>
      </c>
      <c r="F84" s="136">
        <v>219757</v>
      </c>
      <c r="G84" s="135">
        <v>263708.39999999997</v>
      </c>
      <c r="H84" s="297"/>
    </row>
    <row r="85" spans="1:8" x14ac:dyDescent="0.25">
      <c r="A85" s="293"/>
      <c r="B85" s="289"/>
      <c r="C85" s="293" t="s">
        <v>242</v>
      </c>
      <c r="D85" s="293" t="s">
        <v>11</v>
      </c>
      <c r="E85" s="134" t="s">
        <v>12</v>
      </c>
      <c r="F85" s="136">
        <v>229850</v>
      </c>
      <c r="G85" s="135">
        <v>275820</v>
      </c>
      <c r="H85" s="297"/>
    </row>
    <row r="86" spans="1:8" x14ac:dyDescent="0.25">
      <c r="A86" s="293"/>
      <c r="B86" s="289"/>
      <c r="C86" s="293"/>
      <c r="D86" s="293"/>
      <c r="E86" s="134" t="s">
        <v>13</v>
      </c>
      <c r="F86" s="136">
        <v>238638</v>
      </c>
      <c r="G86" s="135">
        <v>286365.59999999998</v>
      </c>
      <c r="H86" s="297"/>
    </row>
    <row r="87" spans="1:8" x14ac:dyDescent="0.25">
      <c r="A87" s="293">
        <v>5</v>
      </c>
      <c r="B87" s="289" t="s">
        <v>33</v>
      </c>
      <c r="C87" s="264" t="s">
        <v>131</v>
      </c>
      <c r="D87" s="264"/>
      <c r="E87" s="264"/>
      <c r="F87" s="264"/>
      <c r="G87" s="264"/>
      <c r="H87" s="264"/>
    </row>
    <row r="88" spans="1:8" x14ac:dyDescent="0.25">
      <c r="A88" s="293"/>
      <c r="B88" s="289"/>
      <c r="C88" s="293" t="s">
        <v>34</v>
      </c>
      <c r="D88" s="134" t="s">
        <v>11</v>
      </c>
      <c r="E88" s="134" t="s">
        <v>12</v>
      </c>
      <c r="F88" s="293" t="s">
        <v>14</v>
      </c>
      <c r="G88" s="293"/>
      <c r="H88" s="135"/>
    </row>
    <row r="89" spans="1:8" x14ac:dyDescent="0.25">
      <c r="A89" s="293"/>
      <c r="B89" s="289"/>
      <c r="C89" s="293"/>
      <c r="D89" s="134" t="s">
        <v>11</v>
      </c>
      <c r="E89" s="134" t="s">
        <v>13</v>
      </c>
      <c r="F89" s="293" t="s">
        <v>14</v>
      </c>
      <c r="G89" s="293"/>
      <c r="H89" s="135"/>
    </row>
    <row r="90" spans="1:8" x14ac:dyDescent="0.25">
      <c r="A90" s="293"/>
      <c r="B90" s="289"/>
      <c r="C90" s="293"/>
      <c r="D90" s="134" t="s">
        <v>2</v>
      </c>
      <c r="E90" s="134"/>
      <c r="F90" s="293" t="s">
        <v>14</v>
      </c>
      <c r="G90" s="293"/>
      <c r="H90" s="135"/>
    </row>
    <row r="91" spans="1:8" x14ac:dyDescent="0.25">
      <c r="A91" s="280">
        <v>6</v>
      </c>
      <c r="B91" s="291" t="s">
        <v>243</v>
      </c>
      <c r="C91" s="291" t="s">
        <v>244</v>
      </c>
      <c r="D91" s="291"/>
      <c r="E91" s="291"/>
      <c r="F91" s="291"/>
      <c r="G91" s="291"/>
      <c r="H91" s="291"/>
    </row>
    <row r="92" spans="1:8" x14ac:dyDescent="0.25">
      <c r="A92" s="280"/>
      <c r="B92" s="291"/>
      <c r="C92" s="280" t="s">
        <v>245</v>
      </c>
      <c r="D92" s="280" t="s">
        <v>11</v>
      </c>
      <c r="E92" s="53" t="s">
        <v>12</v>
      </c>
      <c r="F92" s="81">
        <v>9032</v>
      </c>
      <c r="G92" s="78">
        <v>10838.4</v>
      </c>
      <c r="H92" s="100" t="s">
        <v>30</v>
      </c>
    </row>
    <row r="93" spans="1:8" x14ac:dyDescent="0.25">
      <c r="A93" s="280"/>
      <c r="B93" s="291"/>
      <c r="C93" s="280"/>
      <c r="D93" s="280"/>
      <c r="E93" s="53" t="s">
        <v>12</v>
      </c>
      <c r="F93" s="81">
        <v>10304</v>
      </c>
      <c r="G93" s="78">
        <v>12364.8</v>
      </c>
      <c r="H93" s="100" t="s">
        <v>246</v>
      </c>
    </row>
    <row r="94" spans="1:8" ht="31.5" x14ac:dyDescent="0.25">
      <c r="A94" s="280"/>
      <c r="B94" s="291"/>
      <c r="C94" s="280"/>
      <c r="D94" s="280"/>
      <c r="E94" s="53" t="s">
        <v>206</v>
      </c>
      <c r="F94" s="81">
        <v>11258</v>
      </c>
      <c r="G94" s="78">
        <v>13509.6</v>
      </c>
      <c r="H94" s="100"/>
    </row>
    <row r="95" spans="1:8" x14ac:dyDescent="0.25">
      <c r="A95" s="280"/>
      <c r="B95" s="291"/>
      <c r="C95" s="280" t="s">
        <v>247</v>
      </c>
      <c r="D95" s="280"/>
      <c r="E95" s="53" t="s">
        <v>12</v>
      </c>
      <c r="F95" s="81">
        <v>5162</v>
      </c>
      <c r="G95" s="78">
        <v>6194.4</v>
      </c>
      <c r="H95" s="100" t="s">
        <v>30</v>
      </c>
    </row>
    <row r="96" spans="1:8" x14ac:dyDescent="0.25">
      <c r="A96" s="280"/>
      <c r="B96" s="291"/>
      <c r="C96" s="280"/>
      <c r="D96" s="280"/>
      <c r="E96" s="53" t="s">
        <v>12</v>
      </c>
      <c r="F96" s="81">
        <v>6434</v>
      </c>
      <c r="G96" s="78">
        <v>7720.7999999999993</v>
      </c>
      <c r="H96" s="100" t="s">
        <v>246</v>
      </c>
    </row>
    <row r="97" spans="1:8" ht="31.5" x14ac:dyDescent="0.25">
      <c r="A97" s="280"/>
      <c r="B97" s="291"/>
      <c r="C97" s="280"/>
      <c r="D97" s="280"/>
      <c r="E97" s="53" t="s">
        <v>206</v>
      </c>
      <c r="F97" s="81">
        <v>6434</v>
      </c>
      <c r="G97" s="78">
        <v>7720.7999999999993</v>
      </c>
      <c r="H97" s="100"/>
    </row>
    <row r="98" spans="1:8" x14ac:dyDescent="0.25">
      <c r="A98" s="280"/>
      <c r="B98" s="291"/>
      <c r="C98" s="280" t="s">
        <v>247</v>
      </c>
      <c r="D98" s="280"/>
      <c r="E98" s="53" t="s">
        <v>12</v>
      </c>
      <c r="F98" s="81">
        <v>3870</v>
      </c>
      <c r="G98" s="78">
        <v>4644</v>
      </c>
      <c r="H98" s="100" t="s">
        <v>145</v>
      </c>
    </row>
    <row r="99" spans="1:8" ht="31.5" x14ac:dyDescent="0.25">
      <c r="A99" s="280"/>
      <c r="B99" s="291"/>
      <c r="C99" s="280"/>
      <c r="D99" s="280"/>
      <c r="E99" s="53" t="s">
        <v>206</v>
      </c>
      <c r="F99" s="81">
        <v>4824</v>
      </c>
      <c r="G99" s="78">
        <v>5788.8</v>
      </c>
      <c r="H99" s="100" t="s">
        <v>145</v>
      </c>
    </row>
    <row r="100" spans="1:8" x14ac:dyDescent="0.25">
      <c r="A100" s="289" t="s">
        <v>248</v>
      </c>
      <c r="B100" s="289"/>
      <c r="C100" s="289"/>
      <c r="D100" s="289"/>
      <c r="E100" s="289"/>
      <c r="F100" s="289"/>
      <c r="G100" s="289"/>
      <c r="H100" s="289"/>
    </row>
    <row r="101" spans="1:8" x14ac:dyDescent="0.25">
      <c r="A101" s="290" t="s">
        <v>36</v>
      </c>
      <c r="B101" s="290"/>
      <c r="C101" s="289" t="s">
        <v>249</v>
      </c>
      <c r="D101" s="289"/>
      <c r="E101" s="289"/>
      <c r="F101" s="289"/>
      <c r="G101" s="289"/>
      <c r="H101" s="289"/>
    </row>
    <row r="102" spans="1:8" x14ac:dyDescent="0.25">
      <c r="A102" s="290" t="s">
        <v>140</v>
      </c>
      <c r="B102" s="290"/>
      <c r="C102" s="289" t="s">
        <v>38</v>
      </c>
      <c r="D102" s="289"/>
      <c r="E102" s="289"/>
      <c r="F102" s="289"/>
      <c r="G102" s="289"/>
      <c r="H102" s="289"/>
    </row>
    <row r="103" spans="1:8" ht="31.5" x14ac:dyDescent="0.25">
      <c r="A103" s="134">
        <v>7</v>
      </c>
      <c r="B103" s="137" t="s">
        <v>250</v>
      </c>
      <c r="C103" s="134" t="s">
        <v>251</v>
      </c>
      <c r="D103" s="134" t="s">
        <v>2</v>
      </c>
      <c r="E103" s="134"/>
      <c r="F103" s="293" t="s">
        <v>14</v>
      </c>
      <c r="G103" s="293"/>
      <c r="H103" s="135"/>
    </row>
    <row r="104" spans="1:8" x14ac:dyDescent="0.25">
      <c r="A104" s="293">
        <v>8</v>
      </c>
      <c r="B104" s="290" t="s">
        <v>252</v>
      </c>
      <c r="C104" s="293" t="s">
        <v>253</v>
      </c>
      <c r="D104" s="293" t="s">
        <v>11</v>
      </c>
      <c r="E104" s="134" t="s">
        <v>12</v>
      </c>
      <c r="F104" s="293" t="s">
        <v>14</v>
      </c>
      <c r="G104" s="293"/>
      <c r="H104" s="297"/>
    </row>
    <row r="105" spans="1:8" ht="31.5" x14ac:dyDescent="0.25">
      <c r="A105" s="293"/>
      <c r="B105" s="290"/>
      <c r="C105" s="293"/>
      <c r="D105" s="293"/>
      <c r="E105" s="134" t="s">
        <v>206</v>
      </c>
      <c r="F105" s="293" t="s">
        <v>14</v>
      </c>
      <c r="G105" s="293"/>
      <c r="H105" s="297"/>
    </row>
    <row r="106" spans="1:8" x14ac:dyDescent="0.25">
      <c r="A106" s="525"/>
      <c r="B106" s="526"/>
      <c r="C106" s="525" t="s">
        <v>675</v>
      </c>
      <c r="D106" s="527"/>
      <c r="E106" s="527"/>
      <c r="F106" s="527"/>
      <c r="G106" s="527"/>
      <c r="H106" s="526"/>
    </row>
    <row r="107" spans="1:8" ht="45.75" customHeight="1" x14ac:dyDescent="0.25">
      <c r="A107" s="293">
        <v>9</v>
      </c>
      <c r="B107" s="289" t="s">
        <v>42</v>
      </c>
      <c r="C107" s="293" t="s">
        <v>254</v>
      </c>
      <c r="D107" s="293" t="s">
        <v>255</v>
      </c>
      <c r="E107" s="134" t="s">
        <v>12</v>
      </c>
      <c r="F107" s="83">
        <v>315</v>
      </c>
      <c r="G107" s="100">
        <v>378</v>
      </c>
      <c r="H107" s="280" t="s">
        <v>256</v>
      </c>
    </row>
    <row r="108" spans="1:8" ht="45.75" customHeight="1" x14ac:dyDescent="0.25">
      <c r="A108" s="293"/>
      <c r="B108" s="289"/>
      <c r="C108" s="293"/>
      <c r="D108" s="293"/>
      <c r="E108" s="134" t="s">
        <v>13</v>
      </c>
      <c r="F108" s="83">
        <v>525</v>
      </c>
      <c r="G108" s="100">
        <v>630</v>
      </c>
      <c r="H108" s="280"/>
    </row>
    <row r="109" spans="1:8" ht="45.75" customHeight="1" x14ac:dyDescent="0.25">
      <c r="A109" s="293"/>
      <c r="B109" s="289"/>
      <c r="C109" s="293"/>
      <c r="D109" s="293"/>
      <c r="E109" s="134" t="s">
        <v>12</v>
      </c>
      <c r="F109" s="83">
        <v>630</v>
      </c>
      <c r="G109" s="100">
        <v>756</v>
      </c>
      <c r="H109" s="280" t="s">
        <v>257</v>
      </c>
    </row>
    <row r="110" spans="1:8" ht="45.75" customHeight="1" x14ac:dyDescent="0.25">
      <c r="A110" s="293"/>
      <c r="B110" s="289"/>
      <c r="C110" s="293"/>
      <c r="D110" s="293"/>
      <c r="E110" s="134" t="s">
        <v>13</v>
      </c>
      <c r="F110" s="83">
        <v>787</v>
      </c>
      <c r="G110" s="100">
        <v>944.4</v>
      </c>
      <c r="H110" s="280"/>
    </row>
    <row r="111" spans="1:8" ht="45.75" customHeight="1" x14ac:dyDescent="0.25">
      <c r="A111" s="293"/>
      <c r="B111" s="289"/>
      <c r="C111" s="293"/>
      <c r="D111" s="293"/>
      <c r="E111" s="134" t="s">
        <v>12</v>
      </c>
      <c r="F111" s="83">
        <v>1050</v>
      </c>
      <c r="G111" s="100">
        <v>1260</v>
      </c>
      <c r="H111" s="280" t="s">
        <v>258</v>
      </c>
    </row>
    <row r="112" spans="1:8" ht="45.75" customHeight="1" x14ac:dyDescent="0.25">
      <c r="A112" s="293"/>
      <c r="B112" s="289"/>
      <c r="C112" s="293"/>
      <c r="D112" s="293"/>
      <c r="E112" s="134" t="s">
        <v>259</v>
      </c>
      <c r="F112" s="83">
        <v>1050</v>
      </c>
      <c r="G112" s="100">
        <v>1260</v>
      </c>
      <c r="H112" s="280"/>
    </row>
    <row r="113" spans="1:8" ht="97.5" customHeight="1" x14ac:dyDescent="0.25">
      <c r="A113" s="293"/>
      <c r="B113" s="289"/>
      <c r="C113" s="293"/>
      <c r="D113" s="293" t="s">
        <v>91</v>
      </c>
      <c r="E113" s="134" t="s">
        <v>2</v>
      </c>
      <c r="F113" s="83">
        <v>3000</v>
      </c>
      <c r="G113" s="100">
        <f>F113*1.2</f>
        <v>3600</v>
      </c>
      <c r="H113" s="134" t="s">
        <v>142</v>
      </c>
    </row>
    <row r="114" spans="1:8" ht="45.75" customHeight="1" x14ac:dyDescent="0.25">
      <c r="A114" s="293"/>
      <c r="B114" s="289"/>
      <c r="C114" s="293"/>
      <c r="D114" s="293"/>
      <c r="E114" s="134" t="s">
        <v>2</v>
      </c>
      <c r="F114" s="83">
        <v>4500</v>
      </c>
      <c r="G114" s="100">
        <f>F114*1.2</f>
        <v>5400</v>
      </c>
      <c r="H114" s="134" t="s">
        <v>61</v>
      </c>
    </row>
    <row r="115" spans="1:8" ht="45.75" customHeight="1" x14ac:dyDescent="0.25">
      <c r="A115" s="293"/>
      <c r="B115" s="289"/>
      <c r="C115" s="293"/>
      <c r="D115" s="28" t="s">
        <v>40</v>
      </c>
      <c r="E115" s="138" t="s">
        <v>11</v>
      </c>
      <c r="F115" s="28" t="s">
        <v>14</v>
      </c>
      <c r="G115" s="28"/>
      <c r="H115" s="134" t="s">
        <v>90</v>
      </c>
    </row>
    <row r="116" spans="1:8" x14ac:dyDescent="0.25">
      <c r="A116" s="293"/>
      <c r="B116" s="289"/>
      <c r="C116" s="293"/>
      <c r="D116" s="28" t="s">
        <v>91</v>
      </c>
      <c r="E116" s="138" t="s">
        <v>2</v>
      </c>
      <c r="F116" s="28" t="s">
        <v>14</v>
      </c>
      <c r="G116" s="28"/>
      <c r="H116" s="134"/>
    </row>
    <row r="117" spans="1:8" x14ac:dyDescent="0.25">
      <c r="A117" s="162"/>
      <c r="B117" s="137" t="s">
        <v>81</v>
      </c>
      <c r="C117" s="289" t="s">
        <v>82</v>
      </c>
      <c r="D117" s="289"/>
      <c r="E117" s="289"/>
      <c r="F117" s="289"/>
      <c r="G117" s="289"/>
      <c r="H117" s="289"/>
    </row>
    <row r="118" spans="1:8" x14ac:dyDescent="0.25">
      <c r="A118" s="280">
        <v>10</v>
      </c>
      <c r="B118" s="292" t="s">
        <v>83</v>
      </c>
      <c r="C118" s="291" t="s">
        <v>260</v>
      </c>
      <c r="D118" s="291"/>
      <c r="E118" s="291"/>
      <c r="F118" s="291"/>
      <c r="G118" s="291"/>
      <c r="H118" s="291"/>
    </row>
    <row r="119" spans="1:8" x14ac:dyDescent="0.25">
      <c r="A119" s="280"/>
      <c r="B119" s="292"/>
      <c r="C119" s="280" t="s">
        <v>261</v>
      </c>
      <c r="D119" s="280" t="s">
        <v>85</v>
      </c>
      <c r="E119" s="53" t="s">
        <v>262</v>
      </c>
      <c r="F119" s="100">
        <v>1674</v>
      </c>
      <c r="G119" s="100">
        <v>2008.8</v>
      </c>
      <c r="H119" s="280" t="s">
        <v>263</v>
      </c>
    </row>
    <row r="120" spans="1:8" x14ac:dyDescent="0.25">
      <c r="A120" s="280"/>
      <c r="B120" s="292"/>
      <c r="C120" s="280"/>
      <c r="D120" s="280"/>
      <c r="E120" s="53" t="s">
        <v>12</v>
      </c>
      <c r="F120" s="78">
        <v>2581</v>
      </c>
      <c r="G120" s="100">
        <v>3097.2</v>
      </c>
      <c r="H120" s="280"/>
    </row>
    <row r="121" spans="1:8" ht="47.25" x14ac:dyDescent="0.25">
      <c r="A121" s="280"/>
      <c r="B121" s="292"/>
      <c r="C121" s="53" t="s">
        <v>264</v>
      </c>
      <c r="D121" s="280"/>
      <c r="E121" s="53" t="s">
        <v>12</v>
      </c>
      <c r="F121" s="78">
        <v>3217</v>
      </c>
      <c r="G121" s="100">
        <v>3860.3999999999996</v>
      </c>
      <c r="H121" s="280"/>
    </row>
    <row r="122" spans="1:8" x14ac:dyDescent="0.25">
      <c r="A122" s="280"/>
      <c r="B122" s="292"/>
      <c r="C122" s="280" t="s">
        <v>265</v>
      </c>
      <c r="D122" s="280" t="s">
        <v>85</v>
      </c>
      <c r="E122" s="53" t="s">
        <v>262</v>
      </c>
      <c r="F122" s="78">
        <v>1256</v>
      </c>
      <c r="G122" s="100">
        <v>1507.2</v>
      </c>
      <c r="H122" s="280"/>
    </row>
    <row r="123" spans="1:8" x14ac:dyDescent="0.25">
      <c r="A123" s="280"/>
      <c r="B123" s="292"/>
      <c r="C123" s="280"/>
      <c r="D123" s="280"/>
      <c r="E123" s="53" t="s">
        <v>12</v>
      </c>
      <c r="F123" s="78">
        <v>1935</v>
      </c>
      <c r="G123" s="100">
        <v>2322</v>
      </c>
      <c r="H123" s="280"/>
    </row>
    <row r="124" spans="1:8" ht="31.5" x14ac:dyDescent="0.25">
      <c r="A124" s="280"/>
      <c r="B124" s="292"/>
      <c r="C124" s="53" t="s">
        <v>266</v>
      </c>
      <c r="D124" s="280" t="s">
        <v>85</v>
      </c>
      <c r="E124" s="280" t="s">
        <v>206</v>
      </c>
      <c r="F124" s="78">
        <v>3217</v>
      </c>
      <c r="G124" s="100">
        <v>3860.3999999999996</v>
      </c>
      <c r="H124" s="280"/>
    </row>
    <row r="125" spans="1:8" ht="31.5" x14ac:dyDescent="0.25">
      <c r="A125" s="280"/>
      <c r="B125" s="292"/>
      <c r="C125" s="53" t="s">
        <v>265</v>
      </c>
      <c r="D125" s="280"/>
      <c r="E125" s="280"/>
      <c r="F125" s="78">
        <v>2412</v>
      </c>
      <c r="G125" s="100">
        <v>2894.4</v>
      </c>
      <c r="H125" s="280"/>
    </row>
    <row r="126" spans="1:8" x14ac:dyDescent="0.25">
      <c r="A126" s="293">
        <v>11</v>
      </c>
      <c r="B126" s="290" t="s">
        <v>87</v>
      </c>
      <c r="C126" s="289" t="s">
        <v>88</v>
      </c>
      <c r="D126" s="289"/>
      <c r="E126" s="289"/>
      <c r="F126" s="289"/>
      <c r="G126" s="289"/>
      <c r="H126" s="289"/>
    </row>
    <row r="127" spans="1:8" x14ac:dyDescent="0.25">
      <c r="A127" s="293"/>
      <c r="B127" s="290"/>
      <c r="C127" s="280" t="s">
        <v>146</v>
      </c>
      <c r="D127" s="280" t="s">
        <v>147</v>
      </c>
      <c r="E127" s="53" t="s">
        <v>12</v>
      </c>
      <c r="F127" s="81">
        <v>656</v>
      </c>
      <c r="G127" s="78">
        <v>787.19999999999993</v>
      </c>
      <c r="H127" s="282" t="s">
        <v>267</v>
      </c>
    </row>
    <row r="128" spans="1:8" x14ac:dyDescent="0.25">
      <c r="A128" s="293"/>
      <c r="B128" s="290"/>
      <c r="C128" s="280"/>
      <c r="D128" s="280"/>
      <c r="E128" s="53" t="s">
        <v>13</v>
      </c>
      <c r="F128" s="81">
        <v>985</v>
      </c>
      <c r="G128" s="78">
        <v>1182</v>
      </c>
      <c r="H128" s="280"/>
    </row>
    <row r="129" spans="1:8" x14ac:dyDescent="0.25">
      <c r="A129" s="293"/>
      <c r="B129" s="290"/>
      <c r="C129" s="280"/>
      <c r="D129" s="280"/>
      <c r="E129" s="53" t="s">
        <v>148</v>
      </c>
      <c r="F129" s="81">
        <v>1024</v>
      </c>
      <c r="G129" s="78">
        <v>1228.8</v>
      </c>
      <c r="H129" s="280"/>
    </row>
    <row r="130" spans="1:8" x14ac:dyDescent="0.25">
      <c r="A130" s="293"/>
      <c r="B130" s="290"/>
      <c r="C130" s="280" t="s">
        <v>149</v>
      </c>
      <c r="D130" s="280"/>
      <c r="E130" s="53" t="s">
        <v>12</v>
      </c>
      <c r="F130" s="81">
        <v>3280</v>
      </c>
      <c r="G130" s="78">
        <v>3936</v>
      </c>
      <c r="H130" s="280"/>
    </row>
    <row r="131" spans="1:8" x14ac:dyDescent="0.25">
      <c r="A131" s="293"/>
      <c r="B131" s="290"/>
      <c r="C131" s="280"/>
      <c r="D131" s="280"/>
      <c r="E131" s="53" t="s">
        <v>13</v>
      </c>
      <c r="F131" s="81">
        <v>4925</v>
      </c>
      <c r="G131" s="78">
        <v>5910</v>
      </c>
      <c r="H131" s="280"/>
    </row>
    <row r="132" spans="1:8" x14ac:dyDescent="0.25">
      <c r="A132" s="293"/>
      <c r="B132" s="290"/>
      <c r="C132" s="280"/>
      <c r="D132" s="280"/>
      <c r="E132" s="53" t="s">
        <v>148</v>
      </c>
      <c r="F132" s="81">
        <v>5120</v>
      </c>
      <c r="G132" s="78">
        <v>6144</v>
      </c>
      <c r="H132" s="280"/>
    </row>
    <row r="133" spans="1:8" x14ac:dyDescent="0.25">
      <c r="A133" s="293"/>
      <c r="B133" s="290"/>
      <c r="C133" s="280" t="s">
        <v>268</v>
      </c>
      <c r="D133" s="280"/>
      <c r="E133" s="53" t="s">
        <v>12</v>
      </c>
      <c r="F133" s="81">
        <v>4920</v>
      </c>
      <c r="G133" s="78">
        <v>5904</v>
      </c>
      <c r="H133" s="280"/>
    </row>
    <row r="134" spans="1:8" x14ac:dyDescent="0.25">
      <c r="A134" s="293"/>
      <c r="B134" s="290"/>
      <c r="C134" s="280"/>
      <c r="D134" s="280"/>
      <c r="E134" s="53" t="s">
        <v>13</v>
      </c>
      <c r="F134" s="81">
        <v>7388</v>
      </c>
      <c r="G134" s="78">
        <v>8865.6</v>
      </c>
      <c r="H134" s="280"/>
    </row>
    <row r="135" spans="1:8" x14ac:dyDescent="0.25">
      <c r="A135" s="293"/>
      <c r="B135" s="290"/>
      <c r="C135" s="280"/>
      <c r="D135" s="280"/>
      <c r="E135" s="53" t="s">
        <v>148</v>
      </c>
      <c r="F135" s="81">
        <v>7680</v>
      </c>
      <c r="G135" s="78">
        <v>9216</v>
      </c>
      <c r="H135" s="280"/>
    </row>
    <row r="136" spans="1:8" x14ac:dyDescent="0.25">
      <c r="A136" s="293"/>
      <c r="B136" s="290"/>
      <c r="C136" s="280" t="s">
        <v>269</v>
      </c>
      <c r="D136" s="280"/>
      <c r="E136" s="53" t="s">
        <v>12</v>
      </c>
      <c r="F136" s="81">
        <v>6560</v>
      </c>
      <c r="G136" s="78">
        <v>7872</v>
      </c>
      <c r="H136" s="280"/>
    </row>
    <row r="137" spans="1:8" x14ac:dyDescent="0.25">
      <c r="A137" s="293"/>
      <c r="B137" s="290"/>
      <c r="C137" s="280"/>
      <c r="D137" s="280"/>
      <c r="E137" s="53" t="s">
        <v>13</v>
      </c>
      <c r="F137" s="81">
        <v>9850</v>
      </c>
      <c r="G137" s="78">
        <v>11820</v>
      </c>
      <c r="H137" s="280"/>
    </row>
    <row r="138" spans="1:8" x14ac:dyDescent="0.25">
      <c r="A138" s="293"/>
      <c r="B138" s="290"/>
      <c r="C138" s="280"/>
      <c r="D138" s="280"/>
      <c r="E138" s="53" t="s">
        <v>148</v>
      </c>
      <c r="F138" s="81">
        <v>10240</v>
      </c>
      <c r="G138" s="78">
        <v>12288</v>
      </c>
      <c r="H138" s="280"/>
    </row>
    <row r="139" spans="1:8" x14ac:dyDescent="0.25">
      <c r="A139" s="293"/>
      <c r="B139" s="290"/>
      <c r="C139" s="293" t="s">
        <v>270</v>
      </c>
      <c r="D139" s="293" t="s">
        <v>147</v>
      </c>
      <c r="E139" s="134" t="s">
        <v>12</v>
      </c>
      <c r="F139" s="81">
        <v>2703</v>
      </c>
      <c r="G139" s="78">
        <v>3243.6</v>
      </c>
      <c r="H139" s="277" t="s">
        <v>271</v>
      </c>
    </row>
    <row r="140" spans="1:8" x14ac:dyDescent="0.25">
      <c r="A140" s="293"/>
      <c r="B140" s="290"/>
      <c r="C140" s="293"/>
      <c r="D140" s="293"/>
      <c r="E140" s="134" t="s">
        <v>13</v>
      </c>
      <c r="F140" s="81">
        <v>3123</v>
      </c>
      <c r="G140" s="78">
        <v>3747.6</v>
      </c>
      <c r="H140" s="277"/>
    </row>
    <row r="141" spans="1:8" x14ac:dyDescent="0.25">
      <c r="A141" s="293"/>
      <c r="B141" s="290"/>
      <c r="C141" s="293"/>
      <c r="D141" s="293"/>
      <c r="E141" s="134" t="s">
        <v>148</v>
      </c>
      <c r="F141" s="81">
        <v>3214</v>
      </c>
      <c r="G141" s="78">
        <v>3856.7999999999997</v>
      </c>
      <c r="H141" s="277"/>
    </row>
    <row r="142" spans="1:8" ht="33" customHeight="1" x14ac:dyDescent="0.25">
      <c r="A142" s="293"/>
      <c r="B142" s="290"/>
      <c r="C142" s="293"/>
      <c r="D142" s="293"/>
      <c r="E142" s="53" t="s">
        <v>12</v>
      </c>
      <c r="F142" s="81">
        <v>137</v>
      </c>
      <c r="G142" s="78">
        <v>164.4</v>
      </c>
      <c r="H142" s="282" t="s">
        <v>272</v>
      </c>
    </row>
    <row r="143" spans="1:8" ht="24.75" customHeight="1" x14ac:dyDescent="0.25">
      <c r="A143" s="293"/>
      <c r="B143" s="290"/>
      <c r="C143" s="293"/>
      <c r="D143" s="293"/>
      <c r="E143" s="53" t="s">
        <v>13</v>
      </c>
      <c r="F143" s="81">
        <v>272</v>
      </c>
      <c r="G143" s="78">
        <v>326.39999999999998</v>
      </c>
      <c r="H143" s="282"/>
    </row>
    <row r="144" spans="1:8" ht="20.25" customHeight="1" x14ac:dyDescent="0.25">
      <c r="A144" s="293"/>
      <c r="B144" s="290"/>
      <c r="C144" s="293"/>
      <c r="D144" s="293"/>
      <c r="E144" s="53" t="s">
        <v>148</v>
      </c>
      <c r="F144" s="81">
        <v>272</v>
      </c>
      <c r="G144" s="78">
        <v>326.39999999999998</v>
      </c>
      <c r="H144" s="282"/>
    </row>
    <row r="145" spans="1:8" ht="33.75" customHeight="1" x14ac:dyDescent="0.25">
      <c r="A145" s="293"/>
      <c r="B145" s="290"/>
      <c r="C145" s="293"/>
      <c r="D145" s="280" t="s">
        <v>89</v>
      </c>
      <c r="E145" s="53" t="s">
        <v>262</v>
      </c>
      <c r="F145" s="78">
        <v>1315</v>
      </c>
      <c r="G145" s="78">
        <v>1578</v>
      </c>
      <c r="H145" s="282" t="s">
        <v>273</v>
      </c>
    </row>
    <row r="146" spans="1:8" ht="39" customHeight="1" x14ac:dyDescent="0.25">
      <c r="A146" s="293"/>
      <c r="B146" s="290"/>
      <c r="C146" s="293"/>
      <c r="D146" s="280"/>
      <c r="E146" s="53" t="s">
        <v>12</v>
      </c>
      <c r="F146" s="81">
        <v>2721</v>
      </c>
      <c r="G146" s="78">
        <v>3265.2</v>
      </c>
      <c r="H146" s="282"/>
    </row>
    <row r="147" spans="1:8" ht="36.75" customHeight="1" x14ac:dyDescent="0.25">
      <c r="A147" s="293"/>
      <c r="B147" s="290"/>
      <c r="C147" s="293"/>
      <c r="D147" s="280"/>
      <c r="E147" s="53" t="s">
        <v>13</v>
      </c>
      <c r="F147" s="81">
        <v>4057</v>
      </c>
      <c r="G147" s="78">
        <v>4868.3999999999996</v>
      </c>
      <c r="H147" s="282"/>
    </row>
    <row r="148" spans="1:8" ht="35.25" customHeight="1" x14ac:dyDescent="0.25">
      <c r="A148" s="293"/>
      <c r="B148" s="290"/>
      <c r="C148" s="293"/>
      <c r="D148" s="280"/>
      <c r="E148" s="53" t="s">
        <v>148</v>
      </c>
      <c r="F148" s="81">
        <v>4169</v>
      </c>
      <c r="G148" s="78">
        <v>5002.8</v>
      </c>
      <c r="H148" s="282"/>
    </row>
    <row r="149" spans="1:8" x14ac:dyDescent="0.25">
      <c r="A149" s="293">
        <v>12</v>
      </c>
      <c r="B149" s="290" t="s">
        <v>274</v>
      </c>
      <c r="C149" s="289" t="s">
        <v>275</v>
      </c>
      <c r="D149" s="289"/>
      <c r="E149" s="289"/>
      <c r="F149" s="289"/>
      <c r="G149" s="289"/>
      <c r="H149" s="289"/>
    </row>
    <row r="150" spans="1:8" ht="47.25" x14ac:dyDescent="0.25">
      <c r="A150" s="293"/>
      <c r="B150" s="290"/>
      <c r="C150" s="293" t="s">
        <v>151</v>
      </c>
      <c r="D150" s="134" t="s">
        <v>276</v>
      </c>
      <c r="E150" s="134" t="s">
        <v>277</v>
      </c>
      <c r="F150" s="100">
        <v>469</v>
      </c>
      <c r="G150" s="100">
        <v>562.79999999999995</v>
      </c>
      <c r="H150" s="78" t="s">
        <v>278</v>
      </c>
    </row>
    <row r="151" spans="1:8" x14ac:dyDescent="0.25">
      <c r="A151" s="293"/>
      <c r="B151" s="290"/>
      <c r="C151" s="293"/>
      <c r="D151" s="280" t="s">
        <v>11</v>
      </c>
      <c r="E151" s="53" t="s">
        <v>144</v>
      </c>
      <c r="F151" s="100">
        <v>12750</v>
      </c>
      <c r="G151" s="100">
        <v>15300</v>
      </c>
      <c r="H151" s="277" t="s">
        <v>279</v>
      </c>
    </row>
    <row r="152" spans="1:8" x14ac:dyDescent="0.25">
      <c r="A152" s="293"/>
      <c r="B152" s="290"/>
      <c r="C152" s="293"/>
      <c r="D152" s="280"/>
      <c r="E152" s="53" t="s">
        <v>259</v>
      </c>
      <c r="F152" s="100">
        <v>19426</v>
      </c>
      <c r="G152" s="100">
        <v>23311.200000000001</v>
      </c>
      <c r="H152" s="277"/>
    </row>
    <row r="153" spans="1:8" x14ac:dyDescent="0.25">
      <c r="A153" s="293">
        <v>13</v>
      </c>
      <c r="B153" s="290" t="s">
        <v>44</v>
      </c>
      <c r="C153" s="279" t="s">
        <v>157</v>
      </c>
      <c r="D153" s="279"/>
      <c r="E153" s="279"/>
      <c r="F153" s="279"/>
      <c r="G153" s="279"/>
      <c r="H153" s="279"/>
    </row>
    <row r="154" spans="1:8" x14ac:dyDescent="0.25">
      <c r="A154" s="293"/>
      <c r="B154" s="290"/>
      <c r="C154" s="293" t="s">
        <v>158</v>
      </c>
      <c r="D154" s="293" t="s">
        <v>45</v>
      </c>
      <c r="E154" s="293"/>
      <c r="F154" s="78">
        <v>711</v>
      </c>
      <c r="G154" s="100">
        <v>853.19999999999993</v>
      </c>
      <c r="H154" s="134" t="s">
        <v>280</v>
      </c>
    </row>
    <row r="155" spans="1:8" x14ac:dyDescent="0.25">
      <c r="A155" s="293"/>
      <c r="B155" s="290"/>
      <c r="C155" s="293"/>
      <c r="D155" s="293"/>
      <c r="E155" s="293"/>
      <c r="F155" s="78">
        <v>540</v>
      </c>
      <c r="G155" s="100">
        <v>648</v>
      </c>
      <c r="H155" s="134" t="s">
        <v>281</v>
      </c>
    </row>
    <row r="156" spans="1:8" x14ac:dyDescent="0.25">
      <c r="A156" s="293">
        <v>14</v>
      </c>
      <c r="B156" s="290" t="s">
        <v>162</v>
      </c>
      <c r="C156" s="289" t="s">
        <v>163</v>
      </c>
      <c r="D156" s="289"/>
      <c r="E156" s="289"/>
      <c r="F156" s="289"/>
      <c r="G156" s="289"/>
      <c r="H156" s="289"/>
    </row>
    <row r="157" spans="1:8" ht="35.25" customHeight="1" x14ac:dyDescent="0.25">
      <c r="A157" s="293"/>
      <c r="B157" s="290"/>
      <c r="C157" s="293" t="s">
        <v>163</v>
      </c>
      <c r="D157" s="134" t="s">
        <v>11</v>
      </c>
      <c r="E157" s="134" t="s">
        <v>282</v>
      </c>
      <c r="F157" s="81">
        <v>37121</v>
      </c>
      <c r="G157" s="78">
        <v>44545.2</v>
      </c>
      <c r="H157" s="78" t="s">
        <v>283</v>
      </c>
    </row>
    <row r="158" spans="1:8" ht="31.5" x14ac:dyDescent="0.25">
      <c r="A158" s="293"/>
      <c r="B158" s="290"/>
      <c r="C158" s="293"/>
      <c r="D158" s="134" t="s">
        <v>63</v>
      </c>
      <c r="E158" s="134"/>
      <c r="F158" s="78">
        <v>6240</v>
      </c>
      <c r="G158" s="78">
        <v>7488</v>
      </c>
      <c r="H158" s="2" t="s">
        <v>284</v>
      </c>
    </row>
    <row r="159" spans="1:8" ht="47.25" x14ac:dyDescent="0.25">
      <c r="A159" s="293">
        <v>15</v>
      </c>
      <c r="B159" s="290" t="s">
        <v>285</v>
      </c>
      <c r="C159" s="293" t="s">
        <v>165</v>
      </c>
      <c r="D159" s="134" t="s">
        <v>11</v>
      </c>
      <c r="E159" s="134" t="s">
        <v>286</v>
      </c>
      <c r="F159" s="81">
        <v>1189</v>
      </c>
      <c r="G159" s="78">
        <v>1426.8</v>
      </c>
      <c r="H159" s="78" t="s">
        <v>287</v>
      </c>
    </row>
    <row r="160" spans="1:8" ht="47.25" x14ac:dyDescent="0.25">
      <c r="A160" s="293"/>
      <c r="B160" s="290"/>
      <c r="C160" s="293"/>
      <c r="D160" s="134" t="s">
        <v>11</v>
      </c>
      <c r="E160" s="134" t="s">
        <v>286</v>
      </c>
      <c r="F160" s="81">
        <v>3519</v>
      </c>
      <c r="G160" s="78">
        <v>4222.8</v>
      </c>
      <c r="H160" s="78" t="s">
        <v>288</v>
      </c>
    </row>
    <row r="161" spans="1:8" x14ac:dyDescent="0.25">
      <c r="A161" s="293"/>
      <c r="B161" s="290"/>
      <c r="C161" s="293"/>
      <c r="D161" s="134" t="s">
        <v>289</v>
      </c>
      <c r="E161" s="134" t="s">
        <v>290</v>
      </c>
      <c r="F161" s="81">
        <v>1014</v>
      </c>
      <c r="G161" s="78">
        <v>1216.8</v>
      </c>
      <c r="H161" s="78"/>
    </row>
    <row r="162" spans="1:8" x14ac:dyDescent="0.25">
      <c r="A162" s="289"/>
      <c r="B162" s="289"/>
      <c r="C162" s="264" t="s">
        <v>167</v>
      </c>
      <c r="D162" s="264"/>
      <c r="E162" s="264"/>
      <c r="F162" s="264"/>
      <c r="G162" s="264"/>
      <c r="H162" s="264"/>
    </row>
    <row r="163" spans="1:8" ht="31.5" x14ac:dyDescent="0.25">
      <c r="A163" s="53">
        <v>16</v>
      </c>
      <c r="B163" s="139" t="s">
        <v>168</v>
      </c>
      <c r="C163" s="53" t="s">
        <v>291</v>
      </c>
      <c r="D163" s="53" t="s">
        <v>3</v>
      </c>
      <c r="E163" s="53"/>
      <c r="F163" s="83">
        <v>1916</v>
      </c>
      <c r="G163" s="78">
        <v>2299.1999999999998</v>
      </c>
      <c r="H163" s="100"/>
    </row>
    <row r="164" spans="1:8" ht="47.25" x14ac:dyDescent="0.25">
      <c r="A164" s="2">
        <v>17</v>
      </c>
      <c r="B164" s="102" t="s">
        <v>170</v>
      </c>
      <c r="C164" s="2" t="s">
        <v>171</v>
      </c>
      <c r="D164" s="2" t="s">
        <v>11</v>
      </c>
      <c r="E164" s="2" t="s">
        <v>286</v>
      </c>
      <c r="F164" s="81">
        <v>1314</v>
      </c>
      <c r="G164" s="78">
        <v>1576.8</v>
      </c>
      <c r="H164" s="78" t="s">
        <v>292</v>
      </c>
    </row>
    <row r="165" spans="1:8" ht="47.25" x14ac:dyDescent="0.25">
      <c r="A165" s="53">
        <v>18</v>
      </c>
      <c r="B165" s="140" t="s">
        <v>173</v>
      </c>
      <c r="C165" s="53" t="s">
        <v>293</v>
      </c>
      <c r="D165" s="53" t="s">
        <v>11</v>
      </c>
      <c r="E165" s="53" t="s">
        <v>294</v>
      </c>
      <c r="F165" s="100">
        <v>1469</v>
      </c>
      <c r="G165" s="78">
        <v>1762.8</v>
      </c>
      <c r="H165" s="100"/>
    </row>
    <row r="166" spans="1:8" x14ac:dyDescent="0.25">
      <c r="A166" s="293">
        <v>19</v>
      </c>
      <c r="B166" s="289" t="s">
        <v>175</v>
      </c>
      <c r="C166" s="289" t="s">
        <v>94</v>
      </c>
      <c r="D166" s="289"/>
      <c r="E166" s="289"/>
      <c r="F166" s="289"/>
      <c r="G166" s="289"/>
      <c r="H166" s="289"/>
    </row>
    <row r="167" spans="1:8" ht="20.25" customHeight="1" x14ac:dyDescent="0.25">
      <c r="A167" s="293"/>
      <c r="B167" s="289"/>
      <c r="C167" s="293" t="s">
        <v>94</v>
      </c>
      <c r="D167" s="293" t="s">
        <v>11</v>
      </c>
      <c r="E167" s="134" t="s">
        <v>262</v>
      </c>
      <c r="F167" s="81">
        <v>1093</v>
      </c>
      <c r="G167" s="78">
        <v>1311.6</v>
      </c>
      <c r="H167" s="277" t="s">
        <v>176</v>
      </c>
    </row>
    <row r="168" spans="1:8" ht="21" customHeight="1" x14ac:dyDescent="0.25">
      <c r="A168" s="293"/>
      <c r="B168" s="289"/>
      <c r="C168" s="293"/>
      <c r="D168" s="293"/>
      <c r="E168" s="134" t="s">
        <v>12</v>
      </c>
      <c r="F168" s="81">
        <v>2002</v>
      </c>
      <c r="G168" s="78">
        <v>2402.4</v>
      </c>
      <c r="H168" s="277"/>
    </row>
    <row r="169" spans="1:8" ht="20.25" customHeight="1" x14ac:dyDescent="0.25">
      <c r="A169" s="293"/>
      <c r="B169" s="289"/>
      <c r="C169" s="293"/>
      <c r="D169" s="293"/>
      <c r="E169" s="134" t="s">
        <v>13</v>
      </c>
      <c r="F169" s="81">
        <v>2920</v>
      </c>
      <c r="G169" s="78">
        <v>3504</v>
      </c>
      <c r="H169" s="277"/>
    </row>
    <row r="170" spans="1:8" ht="19.5" customHeight="1" x14ac:dyDescent="0.25">
      <c r="A170" s="293"/>
      <c r="B170" s="289"/>
      <c r="C170" s="293"/>
      <c r="D170" s="293"/>
      <c r="E170" s="134" t="s">
        <v>148</v>
      </c>
      <c r="F170" s="81">
        <v>3001</v>
      </c>
      <c r="G170" s="78">
        <v>3601.2</v>
      </c>
      <c r="H170" s="277"/>
    </row>
    <row r="171" spans="1:8" ht="66" customHeight="1" x14ac:dyDescent="0.25">
      <c r="A171" s="293"/>
      <c r="B171" s="289"/>
      <c r="C171" s="293"/>
      <c r="D171" s="280" t="s">
        <v>11</v>
      </c>
      <c r="E171" s="53" t="s">
        <v>12</v>
      </c>
      <c r="F171" s="83">
        <v>6671</v>
      </c>
      <c r="G171" s="78">
        <v>8005.2</v>
      </c>
      <c r="H171" s="282" t="s">
        <v>295</v>
      </c>
    </row>
    <row r="172" spans="1:8" ht="87" customHeight="1" x14ac:dyDescent="0.25">
      <c r="A172" s="293"/>
      <c r="B172" s="289"/>
      <c r="C172" s="293"/>
      <c r="D172" s="280"/>
      <c r="E172" s="53" t="s">
        <v>206</v>
      </c>
      <c r="F172" s="83">
        <v>7763</v>
      </c>
      <c r="G172" s="78">
        <v>9315.6</v>
      </c>
      <c r="H172" s="282"/>
    </row>
    <row r="173" spans="1:8" ht="94.5" x14ac:dyDescent="0.25">
      <c r="A173" s="293"/>
      <c r="B173" s="289"/>
      <c r="C173" s="293"/>
      <c r="D173" s="134" t="s">
        <v>3</v>
      </c>
      <c r="E173" s="134"/>
      <c r="F173" s="300" t="s">
        <v>92</v>
      </c>
      <c r="G173" s="300"/>
      <c r="H173" s="134" t="s">
        <v>296</v>
      </c>
    </row>
    <row r="174" spans="1:8" ht="31.5" x14ac:dyDescent="0.25">
      <c r="A174" s="293"/>
      <c r="B174" s="289"/>
      <c r="C174" s="293"/>
      <c r="D174" s="134" t="s">
        <v>11</v>
      </c>
      <c r="E174" s="134" t="s">
        <v>56</v>
      </c>
      <c r="F174" s="81">
        <v>2304</v>
      </c>
      <c r="G174" s="78">
        <v>2764.7999999999997</v>
      </c>
      <c r="H174" s="78" t="s">
        <v>177</v>
      </c>
    </row>
    <row r="175" spans="1:8" x14ac:dyDescent="0.25">
      <c r="A175" s="293">
        <v>20</v>
      </c>
      <c r="B175" s="289" t="s">
        <v>297</v>
      </c>
      <c r="C175" s="289" t="s">
        <v>178</v>
      </c>
      <c r="D175" s="289"/>
      <c r="E175" s="289"/>
      <c r="F175" s="289"/>
      <c r="G175" s="289"/>
      <c r="H175" s="289"/>
    </row>
    <row r="176" spans="1:8" ht="45.75" customHeight="1" x14ac:dyDescent="0.25">
      <c r="A176" s="301"/>
      <c r="B176" s="289"/>
      <c r="C176" s="293" t="s">
        <v>178</v>
      </c>
      <c r="D176" s="293" t="s">
        <v>63</v>
      </c>
      <c r="E176" s="134" t="s">
        <v>298</v>
      </c>
      <c r="F176" s="78">
        <v>6850</v>
      </c>
      <c r="G176" s="78">
        <v>8220</v>
      </c>
      <c r="H176" s="277" t="s">
        <v>299</v>
      </c>
    </row>
    <row r="177" spans="1:8" ht="33" customHeight="1" x14ac:dyDescent="0.25">
      <c r="A177" s="301"/>
      <c r="B177" s="289"/>
      <c r="C177" s="293"/>
      <c r="D177" s="293"/>
      <c r="E177" s="134" t="s">
        <v>300</v>
      </c>
      <c r="F177" s="78">
        <v>8220</v>
      </c>
      <c r="G177" s="78">
        <v>9864</v>
      </c>
      <c r="H177" s="277"/>
    </row>
    <row r="178" spans="1:8" ht="32.25" customHeight="1" x14ac:dyDescent="0.25">
      <c r="A178" s="301"/>
      <c r="B178" s="289"/>
      <c r="C178" s="293"/>
      <c r="D178" s="293" t="s">
        <v>63</v>
      </c>
      <c r="E178" s="134" t="s">
        <v>298</v>
      </c>
      <c r="F178" s="78">
        <v>2743</v>
      </c>
      <c r="G178" s="78">
        <v>3291.6</v>
      </c>
      <c r="H178" s="277" t="s">
        <v>301</v>
      </c>
    </row>
    <row r="179" spans="1:8" ht="32.25" customHeight="1" x14ac:dyDescent="0.25">
      <c r="A179" s="301"/>
      <c r="B179" s="289"/>
      <c r="C179" s="293"/>
      <c r="D179" s="293"/>
      <c r="E179" s="134" t="s">
        <v>300</v>
      </c>
      <c r="F179" s="78">
        <v>3426</v>
      </c>
      <c r="G179" s="78">
        <v>4111.2</v>
      </c>
      <c r="H179" s="277"/>
    </row>
    <row r="180" spans="1:8" ht="45.75" customHeight="1" x14ac:dyDescent="0.25">
      <c r="A180" s="301"/>
      <c r="B180" s="289"/>
      <c r="C180" s="293"/>
      <c r="D180" s="134" t="s">
        <v>63</v>
      </c>
      <c r="E180" s="134" t="s">
        <v>302</v>
      </c>
      <c r="F180" s="78">
        <v>4482</v>
      </c>
      <c r="G180" s="78">
        <v>5378.4</v>
      </c>
      <c r="H180" s="78" t="s">
        <v>303</v>
      </c>
    </row>
    <row r="181" spans="1:8" ht="97.5" customHeight="1" x14ac:dyDescent="0.25">
      <c r="A181" s="293"/>
      <c r="B181" s="289"/>
      <c r="C181" s="293"/>
      <c r="D181" s="134" t="s">
        <v>11</v>
      </c>
      <c r="E181" s="134" t="s">
        <v>286</v>
      </c>
      <c r="F181" s="81">
        <v>4687</v>
      </c>
      <c r="G181" s="78">
        <v>5624.4</v>
      </c>
      <c r="H181" s="2" t="s">
        <v>304</v>
      </c>
    </row>
    <row r="182" spans="1:8" x14ac:dyDescent="0.25">
      <c r="A182" s="289" t="s">
        <v>46</v>
      </c>
      <c r="B182" s="289"/>
      <c r="C182" s="289" t="s">
        <v>305</v>
      </c>
      <c r="D182" s="289"/>
      <c r="E182" s="289"/>
      <c r="F182" s="289"/>
      <c r="G182" s="289"/>
      <c r="H182" s="289"/>
    </row>
    <row r="183" spans="1:8" x14ac:dyDescent="0.25">
      <c r="A183" s="293">
        <v>21</v>
      </c>
      <c r="B183" s="299" t="s">
        <v>306</v>
      </c>
      <c r="C183" s="293" t="s">
        <v>307</v>
      </c>
      <c r="D183" s="293" t="s">
        <v>11</v>
      </c>
      <c r="E183" s="293" t="s">
        <v>56</v>
      </c>
      <c r="F183" s="297" t="s">
        <v>14</v>
      </c>
      <c r="G183" s="297"/>
      <c r="H183" s="297" t="s">
        <v>95</v>
      </c>
    </row>
    <row r="184" spans="1:8" x14ac:dyDescent="0.25">
      <c r="A184" s="293"/>
      <c r="B184" s="299"/>
      <c r="C184" s="293"/>
      <c r="D184" s="293"/>
      <c r="E184" s="293"/>
      <c r="F184" s="297"/>
      <c r="G184" s="297"/>
      <c r="H184" s="297"/>
    </row>
    <row r="185" spans="1:8" ht="47.25" x14ac:dyDescent="0.25">
      <c r="A185" s="134">
        <v>22</v>
      </c>
      <c r="B185" s="133" t="s">
        <v>48</v>
      </c>
      <c r="C185" s="134" t="s">
        <v>49</v>
      </c>
      <c r="D185" s="134" t="s">
        <v>11</v>
      </c>
      <c r="E185" s="134" t="s">
        <v>56</v>
      </c>
      <c r="F185" s="293" t="s">
        <v>308</v>
      </c>
      <c r="G185" s="293"/>
      <c r="H185" s="135"/>
    </row>
    <row r="186" spans="1:8" x14ac:dyDescent="0.25">
      <c r="A186" s="293">
        <v>23</v>
      </c>
      <c r="B186" s="299" t="s">
        <v>309</v>
      </c>
      <c r="C186" s="293" t="s">
        <v>310</v>
      </c>
      <c r="D186" s="134" t="s">
        <v>3</v>
      </c>
      <c r="E186" s="141"/>
      <c r="F186" s="78">
        <v>9600</v>
      </c>
      <c r="G186" s="78">
        <v>11520</v>
      </c>
      <c r="H186" s="2" t="s">
        <v>311</v>
      </c>
    </row>
    <row r="187" spans="1:8" x14ac:dyDescent="0.25">
      <c r="A187" s="293"/>
      <c r="B187" s="299"/>
      <c r="C187" s="293"/>
      <c r="D187" s="134" t="s">
        <v>3</v>
      </c>
      <c r="E187" s="134"/>
      <c r="F187" s="78">
        <v>39595</v>
      </c>
      <c r="G187" s="78">
        <v>47514</v>
      </c>
      <c r="H187" s="2" t="s">
        <v>312</v>
      </c>
    </row>
    <row r="188" spans="1:8" x14ac:dyDescent="0.25">
      <c r="A188" s="293">
        <v>24</v>
      </c>
      <c r="B188" s="289" t="s">
        <v>313</v>
      </c>
      <c r="C188" s="264" t="s">
        <v>186</v>
      </c>
      <c r="D188" s="264"/>
      <c r="E188" s="264"/>
      <c r="F188" s="264"/>
      <c r="G188" s="264"/>
      <c r="H188" s="264"/>
    </row>
    <row r="189" spans="1:8" ht="31.5" x14ac:dyDescent="0.25">
      <c r="A189" s="293"/>
      <c r="B189" s="289"/>
      <c r="C189" s="134" t="s">
        <v>314</v>
      </c>
      <c r="D189" s="134" t="s">
        <v>63</v>
      </c>
      <c r="E189" s="134" t="s">
        <v>56</v>
      </c>
      <c r="F189" s="78">
        <v>212</v>
      </c>
      <c r="G189" s="78">
        <v>254.39999999999998</v>
      </c>
      <c r="H189" s="78" t="s">
        <v>315</v>
      </c>
    </row>
    <row r="190" spans="1:8" ht="47.25" x14ac:dyDescent="0.25">
      <c r="A190" s="134">
        <v>25</v>
      </c>
      <c r="B190" s="133" t="s">
        <v>316</v>
      </c>
      <c r="C190" s="134" t="s">
        <v>189</v>
      </c>
      <c r="D190" s="134" t="s">
        <v>3</v>
      </c>
      <c r="E190" s="134"/>
      <c r="F190" s="81">
        <v>2181.91</v>
      </c>
      <c r="G190" s="78">
        <v>2618.2919999999999</v>
      </c>
      <c r="H190" s="135"/>
    </row>
    <row r="191" spans="1:8" x14ac:dyDescent="0.25">
      <c r="A191" s="298" t="s">
        <v>190</v>
      </c>
      <c r="B191" s="298"/>
      <c r="C191" s="289" t="s">
        <v>191</v>
      </c>
      <c r="D191" s="289"/>
      <c r="E191" s="289"/>
      <c r="F191" s="289"/>
      <c r="G191" s="289"/>
      <c r="H191" s="289"/>
    </row>
    <row r="192" spans="1:8" x14ac:dyDescent="0.25">
      <c r="A192" s="293">
        <v>26</v>
      </c>
      <c r="B192" s="290" t="s">
        <v>192</v>
      </c>
      <c r="C192" s="293" t="s">
        <v>317</v>
      </c>
      <c r="D192" s="293" t="s">
        <v>318</v>
      </c>
      <c r="E192" s="134" t="s">
        <v>98</v>
      </c>
      <c r="F192" s="136">
        <v>1792</v>
      </c>
      <c r="G192" s="135">
        <v>2150.4</v>
      </c>
      <c r="H192" s="297" t="s">
        <v>195</v>
      </c>
    </row>
    <row r="193" spans="1:8" ht="28.5" customHeight="1" x14ac:dyDescent="0.25">
      <c r="A193" s="293"/>
      <c r="B193" s="290"/>
      <c r="C193" s="293"/>
      <c r="D193" s="293"/>
      <c r="E193" s="134" t="s">
        <v>13</v>
      </c>
      <c r="F193" s="136">
        <v>1837</v>
      </c>
      <c r="G193" s="135">
        <v>2204.4</v>
      </c>
      <c r="H193" s="297"/>
    </row>
    <row r="194" spans="1:8" ht="57" customHeight="1" x14ac:dyDescent="0.25">
      <c r="A194" s="293">
        <v>27</v>
      </c>
      <c r="B194" s="290" t="s">
        <v>319</v>
      </c>
      <c r="C194" s="293" t="s">
        <v>196</v>
      </c>
      <c r="D194" s="293" t="s">
        <v>318</v>
      </c>
      <c r="E194" s="134" t="s">
        <v>98</v>
      </c>
      <c r="F194" s="136">
        <v>136</v>
      </c>
      <c r="G194" s="135">
        <v>163.19999999999999</v>
      </c>
      <c r="H194" s="297" t="s">
        <v>320</v>
      </c>
    </row>
    <row r="195" spans="1:8" ht="57" customHeight="1" x14ac:dyDescent="0.25">
      <c r="A195" s="293"/>
      <c r="B195" s="290"/>
      <c r="C195" s="293"/>
      <c r="D195" s="293"/>
      <c r="E195" s="134" t="s">
        <v>13</v>
      </c>
      <c r="F195" s="136">
        <v>193</v>
      </c>
      <c r="G195" s="135">
        <v>231.6</v>
      </c>
      <c r="H195" s="297"/>
    </row>
    <row r="196" spans="1:8" ht="31.5" x14ac:dyDescent="0.25">
      <c r="A196" s="134">
        <v>28</v>
      </c>
      <c r="B196" s="142" t="s">
        <v>321</v>
      </c>
      <c r="C196" s="134" t="s">
        <v>322</v>
      </c>
      <c r="D196" s="134" t="s">
        <v>11</v>
      </c>
      <c r="E196" s="134" t="s">
        <v>282</v>
      </c>
      <c r="F196" s="136">
        <v>5017</v>
      </c>
      <c r="G196" s="135">
        <v>6020.4</v>
      </c>
      <c r="H196" s="135" t="s">
        <v>323</v>
      </c>
    </row>
    <row r="197" spans="1:8" x14ac:dyDescent="0.25">
      <c r="A197" s="294" t="s">
        <v>324</v>
      </c>
      <c r="B197" s="294"/>
      <c r="C197" s="294"/>
      <c r="D197" s="294"/>
      <c r="E197" s="294"/>
      <c r="F197" s="294"/>
      <c r="G197" s="294"/>
      <c r="H197" s="294"/>
    </row>
    <row r="198" spans="1:8" x14ac:dyDescent="0.25">
      <c r="A198" s="296">
        <v>29</v>
      </c>
      <c r="B198" s="268" t="s">
        <v>27</v>
      </c>
      <c r="C198" s="268" t="s">
        <v>325</v>
      </c>
      <c r="D198" s="268"/>
      <c r="E198" s="268"/>
      <c r="F198" s="268"/>
      <c r="G198" s="268"/>
      <c r="H198" s="268"/>
    </row>
    <row r="199" spans="1:8" x14ac:dyDescent="0.25">
      <c r="A199" s="296"/>
      <c r="B199" s="268"/>
      <c r="C199" s="296" t="s">
        <v>326</v>
      </c>
      <c r="D199" s="267" t="s">
        <v>11</v>
      </c>
      <c r="E199" s="53" t="s">
        <v>12</v>
      </c>
      <c r="F199" s="81">
        <v>5162</v>
      </c>
      <c r="G199" s="78">
        <v>6194.4</v>
      </c>
      <c r="H199" s="100" t="s">
        <v>30</v>
      </c>
    </row>
    <row r="200" spans="1:8" x14ac:dyDescent="0.25">
      <c r="A200" s="296"/>
      <c r="B200" s="268"/>
      <c r="C200" s="296"/>
      <c r="D200" s="267"/>
      <c r="E200" s="53" t="s">
        <v>12</v>
      </c>
      <c r="F200" s="81">
        <v>6434</v>
      </c>
      <c r="G200" s="78">
        <v>7720.7999999999993</v>
      </c>
      <c r="H200" s="100" t="s">
        <v>246</v>
      </c>
    </row>
    <row r="201" spans="1:8" x14ac:dyDescent="0.25">
      <c r="A201" s="296"/>
      <c r="B201" s="268"/>
      <c r="C201" s="296"/>
      <c r="D201" s="267"/>
      <c r="E201" s="53" t="s">
        <v>13</v>
      </c>
      <c r="F201" s="81">
        <v>6434</v>
      </c>
      <c r="G201" s="78">
        <v>7720.7999999999993</v>
      </c>
      <c r="H201" s="100"/>
    </row>
    <row r="202" spans="1:8" x14ac:dyDescent="0.25">
      <c r="A202" s="289" t="s">
        <v>248</v>
      </c>
      <c r="B202" s="289"/>
      <c r="C202" s="289"/>
      <c r="D202" s="289"/>
      <c r="E202" s="289"/>
      <c r="F202" s="289"/>
      <c r="G202" s="289"/>
      <c r="H202" s="289"/>
    </row>
    <row r="203" spans="1:8" x14ac:dyDescent="0.25">
      <c r="A203" s="162"/>
      <c r="B203" s="137" t="s">
        <v>81</v>
      </c>
      <c r="C203" s="289" t="s">
        <v>82</v>
      </c>
      <c r="D203" s="289"/>
      <c r="E203" s="289"/>
      <c r="F203" s="289"/>
      <c r="G203" s="289"/>
      <c r="H203" s="289"/>
    </row>
    <row r="204" spans="1:8" x14ac:dyDescent="0.25">
      <c r="A204" s="280">
        <v>30</v>
      </c>
      <c r="B204" s="292" t="s">
        <v>83</v>
      </c>
      <c r="C204" s="291" t="s">
        <v>260</v>
      </c>
      <c r="D204" s="291"/>
      <c r="E204" s="291"/>
      <c r="F204" s="291"/>
      <c r="G204" s="291"/>
      <c r="H204" s="291"/>
    </row>
    <row r="205" spans="1:8" ht="47.25" x14ac:dyDescent="0.25">
      <c r="A205" s="280"/>
      <c r="B205" s="292"/>
      <c r="C205" s="53" t="s">
        <v>261</v>
      </c>
      <c r="D205" s="280" t="s">
        <v>85</v>
      </c>
      <c r="E205" s="53" t="s">
        <v>12</v>
      </c>
      <c r="F205" s="78">
        <v>2581</v>
      </c>
      <c r="G205" s="100">
        <v>3097.2</v>
      </c>
      <c r="H205" s="280" t="s">
        <v>327</v>
      </c>
    </row>
    <row r="206" spans="1:8" ht="47.25" x14ac:dyDescent="0.25">
      <c r="A206" s="280"/>
      <c r="B206" s="292"/>
      <c r="C206" s="53" t="s">
        <v>264</v>
      </c>
      <c r="D206" s="280"/>
      <c r="E206" s="53" t="s">
        <v>12</v>
      </c>
      <c r="F206" s="78">
        <v>3217</v>
      </c>
      <c r="G206" s="100">
        <v>3860.3999999999996</v>
      </c>
      <c r="H206" s="280"/>
    </row>
    <row r="207" spans="1:8" ht="42.75" customHeight="1" x14ac:dyDescent="0.25">
      <c r="A207" s="280"/>
      <c r="B207" s="292"/>
      <c r="C207" s="53" t="s">
        <v>266</v>
      </c>
      <c r="D207" s="280"/>
      <c r="E207" s="53" t="s">
        <v>13</v>
      </c>
      <c r="F207" s="78">
        <v>3217</v>
      </c>
      <c r="G207" s="100">
        <v>3860.3999999999996</v>
      </c>
      <c r="H207" s="280"/>
    </row>
    <row r="208" spans="1:8" x14ac:dyDescent="0.25">
      <c r="A208" s="293">
        <v>31</v>
      </c>
      <c r="B208" s="290" t="s">
        <v>87</v>
      </c>
      <c r="C208" s="289" t="s">
        <v>88</v>
      </c>
      <c r="D208" s="289"/>
      <c r="E208" s="289"/>
      <c r="F208" s="289"/>
      <c r="G208" s="289"/>
      <c r="H208" s="289"/>
    </row>
    <row r="209" spans="1:8" x14ac:dyDescent="0.25">
      <c r="A209" s="293"/>
      <c r="B209" s="290"/>
      <c r="C209" s="280" t="s">
        <v>146</v>
      </c>
      <c r="D209" s="280" t="s">
        <v>147</v>
      </c>
      <c r="E209" s="53" t="s">
        <v>12</v>
      </c>
      <c r="F209" s="81">
        <v>656</v>
      </c>
      <c r="G209" s="78">
        <v>787.19999999999993</v>
      </c>
      <c r="H209" s="282" t="s">
        <v>328</v>
      </c>
    </row>
    <row r="210" spans="1:8" x14ac:dyDescent="0.25">
      <c r="A210" s="293"/>
      <c r="B210" s="290"/>
      <c r="C210" s="280"/>
      <c r="D210" s="280"/>
      <c r="E210" s="53" t="s">
        <v>13</v>
      </c>
      <c r="F210" s="81">
        <v>985</v>
      </c>
      <c r="G210" s="78">
        <v>1182</v>
      </c>
      <c r="H210" s="280"/>
    </row>
    <row r="211" spans="1:8" x14ac:dyDescent="0.25">
      <c r="A211" s="293"/>
      <c r="B211" s="290"/>
      <c r="C211" s="280" t="s">
        <v>149</v>
      </c>
      <c r="D211" s="280"/>
      <c r="E211" s="53" t="s">
        <v>12</v>
      </c>
      <c r="F211" s="81">
        <v>3280</v>
      </c>
      <c r="G211" s="78">
        <v>3936</v>
      </c>
      <c r="H211" s="280"/>
    </row>
    <row r="212" spans="1:8" x14ac:dyDescent="0.25">
      <c r="A212" s="293"/>
      <c r="B212" s="290"/>
      <c r="C212" s="280"/>
      <c r="D212" s="280"/>
      <c r="E212" s="53" t="s">
        <v>13</v>
      </c>
      <c r="F212" s="81">
        <v>4925</v>
      </c>
      <c r="G212" s="78">
        <v>5910</v>
      </c>
      <c r="H212" s="280"/>
    </row>
    <row r="213" spans="1:8" x14ac:dyDescent="0.25">
      <c r="A213" s="293"/>
      <c r="B213" s="290"/>
      <c r="C213" s="280" t="s">
        <v>268</v>
      </c>
      <c r="D213" s="280"/>
      <c r="E213" s="53" t="s">
        <v>12</v>
      </c>
      <c r="F213" s="81">
        <v>4920</v>
      </c>
      <c r="G213" s="78">
        <v>5904</v>
      </c>
      <c r="H213" s="280"/>
    </row>
    <row r="214" spans="1:8" x14ac:dyDescent="0.25">
      <c r="A214" s="293"/>
      <c r="B214" s="290"/>
      <c r="C214" s="280"/>
      <c r="D214" s="280"/>
      <c r="E214" s="53" t="s">
        <v>13</v>
      </c>
      <c r="F214" s="81">
        <v>7388</v>
      </c>
      <c r="G214" s="78">
        <v>8865.6</v>
      </c>
      <c r="H214" s="280"/>
    </row>
    <row r="215" spans="1:8" x14ac:dyDescent="0.25">
      <c r="A215" s="293"/>
      <c r="B215" s="290"/>
      <c r="C215" s="280" t="s">
        <v>269</v>
      </c>
      <c r="D215" s="280"/>
      <c r="E215" s="53" t="s">
        <v>12</v>
      </c>
      <c r="F215" s="81">
        <v>6560</v>
      </c>
      <c r="G215" s="78">
        <v>7872</v>
      </c>
      <c r="H215" s="280"/>
    </row>
    <row r="216" spans="1:8" x14ac:dyDescent="0.25">
      <c r="A216" s="293"/>
      <c r="B216" s="290"/>
      <c r="C216" s="280"/>
      <c r="D216" s="280"/>
      <c r="E216" s="53" t="s">
        <v>13</v>
      </c>
      <c r="F216" s="81">
        <v>9850</v>
      </c>
      <c r="G216" s="78">
        <v>11820</v>
      </c>
      <c r="H216" s="280"/>
    </row>
    <row r="217" spans="1:8" x14ac:dyDescent="0.25">
      <c r="A217" s="293">
        <v>32</v>
      </c>
      <c r="B217" s="289" t="s">
        <v>297</v>
      </c>
      <c r="C217" s="289" t="s">
        <v>178</v>
      </c>
      <c r="D217" s="289"/>
      <c r="E217" s="289"/>
      <c r="F217" s="289"/>
      <c r="G217" s="289"/>
      <c r="H217" s="289"/>
    </row>
    <row r="218" spans="1:8" ht="31.5" x14ac:dyDescent="0.25">
      <c r="A218" s="293"/>
      <c r="B218" s="289"/>
      <c r="C218" s="134" t="s">
        <v>178</v>
      </c>
      <c r="D218" s="134" t="s">
        <v>11</v>
      </c>
      <c r="E218" s="134" t="s">
        <v>282</v>
      </c>
      <c r="F218" s="81">
        <v>4687</v>
      </c>
      <c r="G218" s="78">
        <v>5624.4</v>
      </c>
      <c r="H218" s="2" t="s">
        <v>329</v>
      </c>
    </row>
    <row r="219" spans="1:8" x14ac:dyDescent="0.25">
      <c r="A219" s="294" t="s">
        <v>330</v>
      </c>
      <c r="B219" s="294"/>
      <c r="C219" s="294"/>
      <c r="D219" s="294"/>
      <c r="E219" s="294"/>
      <c r="F219" s="294"/>
      <c r="G219" s="294"/>
      <c r="H219" s="294"/>
    </row>
    <row r="220" spans="1:8" x14ac:dyDescent="0.25">
      <c r="A220" s="295">
        <v>33</v>
      </c>
      <c r="B220" s="268" t="s">
        <v>27</v>
      </c>
      <c r="C220" s="268" t="s">
        <v>325</v>
      </c>
      <c r="D220" s="268"/>
      <c r="E220" s="268"/>
      <c r="F220" s="268"/>
      <c r="G220" s="268"/>
      <c r="H220" s="268"/>
    </row>
    <row r="221" spans="1:8" ht="21" customHeight="1" x14ac:dyDescent="0.25">
      <c r="A221" s="295"/>
      <c r="B221" s="268"/>
      <c r="C221" s="296" t="s">
        <v>326</v>
      </c>
      <c r="D221" s="267" t="s">
        <v>11</v>
      </c>
      <c r="E221" s="53" t="s">
        <v>12</v>
      </c>
      <c r="F221" s="81">
        <v>5162</v>
      </c>
      <c r="G221" s="78">
        <v>6194.4</v>
      </c>
      <c r="H221" s="100" t="s">
        <v>30</v>
      </c>
    </row>
    <row r="222" spans="1:8" ht="21" customHeight="1" x14ac:dyDescent="0.25">
      <c r="A222" s="295"/>
      <c r="B222" s="268"/>
      <c r="C222" s="296"/>
      <c r="D222" s="267"/>
      <c r="E222" s="53" t="s">
        <v>12</v>
      </c>
      <c r="F222" s="81">
        <v>6434</v>
      </c>
      <c r="G222" s="78">
        <v>7720.7999999999993</v>
      </c>
      <c r="H222" s="100" t="s">
        <v>246</v>
      </c>
    </row>
    <row r="223" spans="1:8" ht="21" customHeight="1" x14ac:dyDescent="0.25">
      <c r="A223" s="295"/>
      <c r="B223" s="268"/>
      <c r="C223" s="296"/>
      <c r="D223" s="267"/>
      <c r="E223" s="53" t="s">
        <v>13</v>
      </c>
      <c r="F223" s="81">
        <v>6434</v>
      </c>
      <c r="G223" s="78">
        <v>7720.7999999999993</v>
      </c>
      <c r="H223" s="100"/>
    </row>
    <row r="224" spans="1:8" x14ac:dyDescent="0.25">
      <c r="A224" s="289" t="s">
        <v>248</v>
      </c>
      <c r="B224" s="289"/>
      <c r="C224" s="289"/>
      <c r="D224" s="289"/>
      <c r="E224" s="289"/>
      <c r="F224" s="289"/>
      <c r="G224" s="289"/>
      <c r="H224" s="289"/>
    </row>
    <row r="225" spans="1:8" x14ac:dyDescent="0.25">
      <c r="A225" s="137"/>
      <c r="B225" s="137" t="s">
        <v>81</v>
      </c>
      <c r="C225" s="289" t="s">
        <v>82</v>
      </c>
      <c r="D225" s="289"/>
      <c r="E225" s="289"/>
      <c r="F225" s="289"/>
      <c r="G225" s="289"/>
      <c r="H225" s="289"/>
    </row>
    <row r="226" spans="1:8" x14ac:dyDescent="0.25">
      <c r="A226" s="291">
        <v>34</v>
      </c>
      <c r="B226" s="292" t="s">
        <v>83</v>
      </c>
      <c r="C226" s="291" t="s">
        <v>260</v>
      </c>
      <c r="D226" s="291"/>
      <c r="E226" s="291"/>
      <c r="F226" s="291"/>
      <c r="G226" s="291"/>
      <c r="H226" s="291"/>
    </row>
    <row r="227" spans="1:8" ht="49.5" customHeight="1" x14ac:dyDescent="0.25">
      <c r="A227" s="291"/>
      <c r="B227" s="292"/>
      <c r="C227" s="53" t="s">
        <v>261</v>
      </c>
      <c r="D227" s="280" t="s">
        <v>85</v>
      </c>
      <c r="E227" s="53" t="s">
        <v>12</v>
      </c>
      <c r="F227" s="78">
        <v>2581</v>
      </c>
      <c r="G227" s="100">
        <v>3097.2</v>
      </c>
      <c r="H227" s="280" t="s">
        <v>331</v>
      </c>
    </row>
    <row r="228" spans="1:8" ht="49.5" customHeight="1" x14ac:dyDescent="0.25">
      <c r="A228" s="291"/>
      <c r="B228" s="292"/>
      <c r="C228" s="53" t="s">
        <v>264</v>
      </c>
      <c r="D228" s="280"/>
      <c r="E228" s="53" t="s">
        <v>12</v>
      </c>
      <c r="F228" s="78">
        <v>3217</v>
      </c>
      <c r="G228" s="100">
        <v>3860.3999999999996</v>
      </c>
      <c r="H228" s="280"/>
    </row>
    <row r="229" spans="1:8" ht="49.5" customHeight="1" x14ac:dyDescent="0.25">
      <c r="A229" s="291"/>
      <c r="B229" s="292"/>
      <c r="C229" s="53" t="s">
        <v>266</v>
      </c>
      <c r="D229" s="280"/>
      <c r="E229" s="53" t="s">
        <v>13</v>
      </c>
      <c r="F229" s="78">
        <v>3217</v>
      </c>
      <c r="G229" s="100">
        <v>3860.3999999999996</v>
      </c>
      <c r="H229" s="280"/>
    </row>
    <row r="230" spans="1:8" x14ac:dyDescent="0.25">
      <c r="A230" s="289">
        <v>35</v>
      </c>
      <c r="B230" s="290" t="s">
        <v>87</v>
      </c>
      <c r="C230" s="289" t="s">
        <v>88</v>
      </c>
      <c r="D230" s="289"/>
      <c r="E230" s="289"/>
      <c r="F230" s="289"/>
      <c r="G230" s="289"/>
      <c r="H230" s="289"/>
    </row>
    <row r="231" spans="1:8" x14ac:dyDescent="0.25">
      <c r="A231" s="289"/>
      <c r="B231" s="290"/>
      <c r="C231" s="280" t="s">
        <v>146</v>
      </c>
      <c r="D231" s="280" t="s">
        <v>147</v>
      </c>
      <c r="E231" s="53" t="s">
        <v>12</v>
      </c>
      <c r="F231" s="81">
        <v>656</v>
      </c>
      <c r="G231" s="78">
        <v>787.19999999999993</v>
      </c>
      <c r="H231" s="282" t="s">
        <v>332</v>
      </c>
    </row>
    <row r="232" spans="1:8" x14ac:dyDescent="0.25">
      <c r="A232" s="289"/>
      <c r="B232" s="290"/>
      <c r="C232" s="280"/>
      <c r="D232" s="280"/>
      <c r="E232" s="53" t="s">
        <v>13</v>
      </c>
      <c r="F232" s="81">
        <v>985</v>
      </c>
      <c r="G232" s="78">
        <v>1182</v>
      </c>
      <c r="H232" s="280"/>
    </row>
    <row r="233" spans="1:8" x14ac:dyDescent="0.25">
      <c r="A233" s="289"/>
      <c r="B233" s="290"/>
      <c r="C233" s="280" t="s">
        <v>149</v>
      </c>
      <c r="D233" s="280"/>
      <c r="E233" s="53" t="s">
        <v>12</v>
      </c>
      <c r="F233" s="81">
        <v>3280</v>
      </c>
      <c r="G233" s="78">
        <v>3936</v>
      </c>
      <c r="H233" s="280"/>
    </row>
    <row r="234" spans="1:8" x14ac:dyDescent="0.25">
      <c r="A234" s="289"/>
      <c r="B234" s="290"/>
      <c r="C234" s="280"/>
      <c r="D234" s="280"/>
      <c r="E234" s="53" t="s">
        <v>13</v>
      </c>
      <c r="F234" s="81">
        <v>4925</v>
      </c>
      <c r="G234" s="78">
        <v>5910</v>
      </c>
      <c r="H234" s="280"/>
    </row>
    <row r="235" spans="1:8" x14ac:dyDescent="0.25">
      <c r="A235" s="289"/>
      <c r="B235" s="290"/>
      <c r="C235" s="280" t="s">
        <v>268</v>
      </c>
      <c r="D235" s="280"/>
      <c r="E235" s="53" t="s">
        <v>12</v>
      </c>
      <c r="F235" s="81">
        <v>4920</v>
      </c>
      <c r="G235" s="78">
        <v>5904</v>
      </c>
      <c r="H235" s="280"/>
    </row>
    <row r="236" spans="1:8" x14ac:dyDescent="0.25">
      <c r="A236" s="289"/>
      <c r="B236" s="290"/>
      <c r="C236" s="280"/>
      <c r="D236" s="280"/>
      <c r="E236" s="53" t="s">
        <v>13</v>
      </c>
      <c r="F236" s="81">
        <v>7388</v>
      </c>
      <c r="G236" s="78">
        <v>8865.6</v>
      </c>
      <c r="H236" s="280"/>
    </row>
    <row r="237" spans="1:8" x14ac:dyDescent="0.25">
      <c r="A237" s="289"/>
      <c r="B237" s="290"/>
      <c r="C237" s="280" t="s">
        <v>269</v>
      </c>
      <c r="D237" s="280"/>
      <c r="E237" s="53" t="s">
        <v>12</v>
      </c>
      <c r="F237" s="81">
        <v>6560</v>
      </c>
      <c r="G237" s="78">
        <v>7872</v>
      </c>
      <c r="H237" s="280"/>
    </row>
    <row r="238" spans="1:8" x14ac:dyDescent="0.25">
      <c r="A238" s="289"/>
      <c r="B238" s="290"/>
      <c r="C238" s="280"/>
      <c r="D238" s="280"/>
      <c r="E238" s="53" t="s">
        <v>13</v>
      </c>
      <c r="F238" s="81">
        <v>9850</v>
      </c>
      <c r="G238" s="78">
        <v>11820</v>
      </c>
      <c r="H238" s="280"/>
    </row>
    <row r="239" spans="1:8" ht="23.25" customHeight="1" x14ac:dyDescent="0.25">
      <c r="A239" s="289">
        <v>36</v>
      </c>
      <c r="B239" s="289" t="s">
        <v>297</v>
      </c>
      <c r="C239" s="289" t="s">
        <v>178</v>
      </c>
      <c r="D239" s="289"/>
      <c r="E239" s="289"/>
      <c r="F239" s="289"/>
      <c r="G239" s="289"/>
      <c r="H239" s="289"/>
    </row>
    <row r="240" spans="1:8" ht="39.75" customHeight="1" x14ac:dyDescent="0.25">
      <c r="A240" s="289"/>
      <c r="B240" s="289"/>
      <c r="C240" s="134" t="s">
        <v>178</v>
      </c>
      <c r="D240" s="134" t="s">
        <v>11</v>
      </c>
      <c r="E240" s="134" t="s">
        <v>282</v>
      </c>
      <c r="F240" s="81">
        <v>4687</v>
      </c>
      <c r="G240" s="78">
        <v>5624.4</v>
      </c>
      <c r="H240" s="2" t="s">
        <v>329</v>
      </c>
    </row>
    <row r="241" spans="1:8" x14ac:dyDescent="0.25">
      <c r="A241" s="143"/>
      <c r="B241" s="144"/>
      <c r="C241" s="143"/>
      <c r="D241" s="143"/>
      <c r="E241" s="143"/>
      <c r="F241" s="91"/>
      <c r="G241" s="90"/>
      <c r="H241" s="88"/>
    </row>
    <row r="242" spans="1:8" x14ac:dyDescent="0.25">
      <c r="A242" s="94" t="s">
        <v>197</v>
      </c>
      <c r="B242" s="95"/>
      <c r="C242" s="120"/>
      <c r="D242" s="115"/>
      <c r="E242" s="66"/>
      <c r="F242" s="1"/>
      <c r="G242" s="1"/>
      <c r="H242" s="120"/>
    </row>
    <row r="243" spans="1:8" x14ac:dyDescent="0.25">
      <c r="A243" s="94"/>
      <c r="B243" s="95"/>
      <c r="C243" s="120"/>
      <c r="D243" s="115"/>
      <c r="E243" s="66"/>
      <c r="F243" s="1"/>
      <c r="G243" s="1"/>
      <c r="H243" s="120"/>
    </row>
    <row r="244" spans="1:8" x14ac:dyDescent="0.25">
      <c r="A244" s="94" t="s">
        <v>96</v>
      </c>
      <c r="B244" s="95"/>
      <c r="C244" s="62"/>
      <c r="D244" s="145"/>
      <c r="E244" s="146" t="s">
        <v>333</v>
      </c>
      <c r="F244" s="1"/>
      <c r="G244" s="1"/>
      <c r="H244" s="120"/>
    </row>
    <row r="245" spans="1:8" x14ac:dyDescent="0.25">
      <c r="A245" s="94"/>
      <c r="B245" s="95"/>
      <c r="C245" s="120"/>
      <c r="D245" s="115"/>
      <c r="E245" s="115"/>
      <c r="F245" s="1"/>
      <c r="G245" s="1"/>
      <c r="H245" s="120"/>
    </row>
    <row r="246" spans="1:8" x14ac:dyDescent="0.25">
      <c r="A246" s="94" t="s">
        <v>66</v>
      </c>
      <c r="B246" s="95"/>
      <c r="C246" s="120"/>
      <c r="D246" s="115"/>
      <c r="E246" s="115" t="s">
        <v>334</v>
      </c>
      <c r="F246" s="1"/>
      <c r="G246" s="1"/>
      <c r="H246" s="120"/>
    </row>
    <row r="247" spans="1:8" x14ac:dyDescent="0.25">
      <c r="A247" s="94"/>
      <c r="B247" s="95"/>
      <c r="C247" s="120"/>
      <c r="D247" s="115"/>
      <c r="E247" s="115"/>
      <c r="F247" s="1"/>
      <c r="G247" s="1"/>
      <c r="H247" s="120"/>
    </row>
    <row r="248" spans="1:8" x14ac:dyDescent="0.25">
      <c r="A248" s="94" t="s">
        <v>68</v>
      </c>
      <c r="B248" s="95"/>
      <c r="C248" s="120"/>
      <c r="D248" s="115"/>
      <c r="E248" s="115" t="s">
        <v>335</v>
      </c>
      <c r="F248" s="1"/>
      <c r="G248" s="1"/>
      <c r="H248" s="120"/>
    </row>
    <row r="249" spans="1:8" x14ac:dyDescent="0.25">
      <c r="A249" s="147"/>
      <c r="B249" s="94"/>
      <c r="C249" s="120"/>
      <c r="D249" s="115"/>
      <c r="E249" s="115"/>
      <c r="F249" s="1"/>
      <c r="G249" s="1"/>
      <c r="H249" s="120"/>
    </row>
    <row r="250" spans="1:8" x14ac:dyDescent="0.25">
      <c r="A250" s="94" t="s">
        <v>336</v>
      </c>
      <c r="B250" s="95"/>
      <c r="C250" s="120"/>
      <c r="D250" s="95"/>
      <c r="E250" s="115" t="s">
        <v>337</v>
      </c>
      <c r="F250" s="1"/>
      <c r="G250" s="1"/>
      <c r="H250" s="120"/>
    </row>
    <row r="251" spans="1:8" x14ac:dyDescent="0.25">
      <c r="A251" s="120"/>
      <c r="B251" s="120"/>
      <c r="C251" s="120"/>
      <c r="D251" s="120"/>
      <c r="E251" s="120"/>
      <c r="F251" s="120"/>
      <c r="G251" s="120"/>
      <c r="H251" s="120"/>
    </row>
  </sheetData>
  <mergeCells count="276">
    <mergeCell ref="A7:H7"/>
    <mergeCell ref="A8:H8"/>
    <mergeCell ref="A9:H9"/>
    <mergeCell ref="A10:H10"/>
    <mergeCell ref="A13:H13"/>
    <mergeCell ref="A14:H14"/>
    <mergeCell ref="C15:H15"/>
    <mergeCell ref="A16:A18"/>
    <mergeCell ref="B16:B18"/>
    <mergeCell ref="C16:C18"/>
    <mergeCell ref="D16:D17"/>
    <mergeCell ref="F16:G16"/>
    <mergeCell ref="H16:H18"/>
    <mergeCell ref="F17:G17"/>
    <mergeCell ref="F18:G18"/>
    <mergeCell ref="A23:A25"/>
    <mergeCell ref="B23:B25"/>
    <mergeCell ref="C23:C25"/>
    <mergeCell ref="D23:D24"/>
    <mergeCell ref="F23:G23"/>
    <mergeCell ref="H23:H25"/>
    <mergeCell ref="F24:G24"/>
    <mergeCell ref="F25:G25"/>
    <mergeCell ref="A19:B19"/>
    <mergeCell ref="C19:H19"/>
    <mergeCell ref="A20:A22"/>
    <mergeCell ref="B20:B22"/>
    <mergeCell ref="C20:C22"/>
    <mergeCell ref="D20:D21"/>
    <mergeCell ref="F20:G20"/>
    <mergeCell ref="H20:H22"/>
    <mergeCell ref="F21:G21"/>
    <mergeCell ref="F22:G22"/>
    <mergeCell ref="C33:C34"/>
    <mergeCell ref="D33:D34"/>
    <mergeCell ref="C35:C36"/>
    <mergeCell ref="D35:D36"/>
    <mergeCell ref="C37:C38"/>
    <mergeCell ref="D37:D38"/>
    <mergeCell ref="A26:A86"/>
    <mergeCell ref="B26:B86"/>
    <mergeCell ref="C26:H26"/>
    <mergeCell ref="C27:C30"/>
    <mergeCell ref="D27:D28"/>
    <mergeCell ref="H27:H28"/>
    <mergeCell ref="D29:D30"/>
    <mergeCell ref="H29:H86"/>
    <mergeCell ref="C31:C32"/>
    <mergeCell ref="D31:D32"/>
    <mergeCell ref="C45:C46"/>
    <mergeCell ref="D45:D46"/>
    <mergeCell ref="C47:C48"/>
    <mergeCell ref="D47:D48"/>
    <mergeCell ref="C49:C50"/>
    <mergeCell ref="D49:D50"/>
    <mergeCell ref="C39:C40"/>
    <mergeCell ref="D39:D40"/>
    <mergeCell ref="C41:C42"/>
    <mergeCell ref="D41:D42"/>
    <mergeCell ref="C43:C44"/>
    <mergeCell ref="D43:D44"/>
    <mergeCell ref="C57:C58"/>
    <mergeCell ref="D57:D58"/>
    <mergeCell ref="C59:C60"/>
    <mergeCell ref="D59:D60"/>
    <mergeCell ref="C61:C62"/>
    <mergeCell ref="D61:D62"/>
    <mergeCell ref="C51:C52"/>
    <mergeCell ref="D51:D52"/>
    <mergeCell ref="C53:C54"/>
    <mergeCell ref="D53:D54"/>
    <mergeCell ref="C55:C56"/>
    <mergeCell ref="D55:D56"/>
    <mergeCell ref="C69:C70"/>
    <mergeCell ref="D69:D70"/>
    <mergeCell ref="C71:C72"/>
    <mergeCell ref="D71:D72"/>
    <mergeCell ref="C73:C74"/>
    <mergeCell ref="D73:D74"/>
    <mergeCell ref="C63:C64"/>
    <mergeCell ref="D63:D64"/>
    <mergeCell ref="C65:C66"/>
    <mergeCell ref="D65:D66"/>
    <mergeCell ref="C67:C68"/>
    <mergeCell ref="D67:D68"/>
    <mergeCell ref="C81:C82"/>
    <mergeCell ref="D81:D82"/>
    <mergeCell ref="C83:C84"/>
    <mergeCell ref="D83:D84"/>
    <mergeCell ref="C85:C86"/>
    <mergeCell ref="D85:D86"/>
    <mergeCell ref="C75:C76"/>
    <mergeCell ref="D75:D76"/>
    <mergeCell ref="C77:C78"/>
    <mergeCell ref="D77:D78"/>
    <mergeCell ref="C79:C80"/>
    <mergeCell ref="D79:D80"/>
    <mergeCell ref="A91:A99"/>
    <mergeCell ref="B91:B99"/>
    <mergeCell ref="C91:H91"/>
    <mergeCell ref="C92:C94"/>
    <mergeCell ref="D92:D99"/>
    <mergeCell ref="C95:C97"/>
    <mergeCell ref="C98:C99"/>
    <mergeCell ref="A87:A90"/>
    <mergeCell ref="B87:B90"/>
    <mergeCell ref="C87:H87"/>
    <mergeCell ref="C88:C90"/>
    <mergeCell ref="F88:G88"/>
    <mergeCell ref="F89:G89"/>
    <mergeCell ref="F90:G90"/>
    <mergeCell ref="A104:A105"/>
    <mergeCell ref="B104:B105"/>
    <mergeCell ref="C104:C105"/>
    <mergeCell ref="D104:D105"/>
    <mergeCell ref="F104:G104"/>
    <mergeCell ref="H104:H105"/>
    <mergeCell ref="F105:G105"/>
    <mergeCell ref="A100:H100"/>
    <mergeCell ref="A101:B101"/>
    <mergeCell ref="C101:H101"/>
    <mergeCell ref="A102:B102"/>
    <mergeCell ref="C102:H102"/>
    <mergeCell ref="F103:G103"/>
    <mergeCell ref="A106:B106"/>
    <mergeCell ref="C106:H106"/>
    <mergeCell ref="A107:A116"/>
    <mergeCell ref="B107:B116"/>
    <mergeCell ref="C107:C116"/>
    <mergeCell ref="D107:D112"/>
    <mergeCell ref="H107:H108"/>
    <mergeCell ref="H109:H110"/>
    <mergeCell ref="H111:H112"/>
    <mergeCell ref="D113:D114"/>
    <mergeCell ref="C117:H117"/>
    <mergeCell ref="A118:A125"/>
    <mergeCell ref="B118:B125"/>
    <mergeCell ref="C118:H118"/>
    <mergeCell ref="C119:C120"/>
    <mergeCell ref="D119:D121"/>
    <mergeCell ref="H119:H125"/>
    <mergeCell ref="C122:C123"/>
    <mergeCell ref="D122:D123"/>
    <mergeCell ref="D124:D125"/>
    <mergeCell ref="E124:E125"/>
    <mergeCell ref="A126:A148"/>
    <mergeCell ref="B126:B148"/>
    <mergeCell ref="C126:H126"/>
    <mergeCell ref="C127:C129"/>
    <mergeCell ref="D127:D138"/>
    <mergeCell ref="H127:H138"/>
    <mergeCell ref="C130:C132"/>
    <mergeCell ref="C133:C135"/>
    <mergeCell ref="C136:C138"/>
    <mergeCell ref="A149:A152"/>
    <mergeCell ref="B149:B152"/>
    <mergeCell ref="C149:H149"/>
    <mergeCell ref="C150:C152"/>
    <mergeCell ref="D151:D152"/>
    <mergeCell ref="H151:H152"/>
    <mergeCell ref="C139:C148"/>
    <mergeCell ref="D139:D144"/>
    <mergeCell ref="H139:H141"/>
    <mergeCell ref="H142:H144"/>
    <mergeCell ref="D145:D148"/>
    <mergeCell ref="H145:H148"/>
    <mergeCell ref="A156:A158"/>
    <mergeCell ref="B156:B158"/>
    <mergeCell ref="C156:H156"/>
    <mergeCell ref="C157:C158"/>
    <mergeCell ref="A159:A161"/>
    <mergeCell ref="B159:B161"/>
    <mergeCell ref="C159:C161"/>
    <mergeCell ref="A153:A155"/>
    <mergeCell ref="B153:B155"/>
    <mergeCell ref="C153:H153"/>
    <mergeCell ref="C154:C155"/>
    <mergeCell ref="D154:D155"/>
    <mergeCell ref="E154:E155"/>
    <mergeCell ref="A162:B162"/>
    <mergeCell ref="C162:H162"/>
    <mergeCell ref="A166:A174"/>
    <mergeCell ref="B166:B174"/>
    <mergeCell ref="C166:H166"/>
    <mergeCell ref="C167:C174"/>
    <mergeCell ref="D167:D170"/>
    <mergeCell ref="H167:H170"/>
    <mergeCell ref="D171:D172"/>
    <mergeCell ref="H171:H172"/>
    <mergeCell ref="F173:G173"/>
    <mergeCell ref="A175:A181"/>
    <mergeCell ref="B175:B181"/>
    <mergeCell ref="C175:H175"/>
    <mergeCell ref="C176:C181"/>
    <mergeCell ref="D176:D177"/>
    <mergeCell ref="H176:H177"/>
    <mergeCell ref="D178:D179"/>
    <mergeCell ref="H178:H179"/>
    <mergeCell ref="F185:G185"/>
    <mergeCell ref="A186:A187"/>
    <mergeCell ref="B186:B187"/>
    <mergeCell ref="C186:C187"/>
    <mergeCell ref="A188:A189"/>
    <mergeCell ref="B188:B189"/>
    <mergeCell ref="C188:H188"/>
    <mergeCell ref="A182:B182"/>
    <mergeCell ref="C182:H182"/>
    <mergeCell ref="A183:A184"/>
    <mergeCell ref="B183:B184"/>
    <mergeCell ref="C183:C184"/>
    <mergeCell ref="D183:D184"/>
    <mergeCell ref="E183:E184"/>
    <mergeCell ref="F183:G184"/>
    <mergeCell ref="H183:H184"/>
    <mergeCell ref="A194:A195"/>
    <mergeCell ref="B194:B195"/>
    <mergeCell ref="C194:C195"/>
    <mergeCell ref="D194:D195"/>
    <mergeCell ref="H194:H195"/>
    <mergeCell ref="A197:H197"/>
    <mergeCell ref="A191:B191"/>
    <mergeCell ref="C191:H191"/>
    <mergeCell ref="A192:A193"/>
    <mergeCell ref="B192:B193"/>
    <mergeCell ref="C192:C193"/>
    <mergeCell ref="D192:D193"/>
    <mergeCell ref="H192:H193"/>
    <mergeCell ref="C203:H203"/>
    <mergeCell ref="A204:A207"/>
    <mergeCell ref="B204:B207"/>
    <mergeCell ref="C204:H204"/>
    <mergeCell ref="D205:D207"/>
    <mergeCell ref="H205:H207"/>
    <mergeCell ref="A198:A201"/>
    <mergeCell ref="B198:B201"/>
    <mergeCell ref="C198:H198"/>
    <mergeCell ref="C199:C201"/>
    <mergeCell ref="D199:D201"/>
    <mergeCell ref="A202:H202"/>
    <mergeCell ref="A208:A216"/>
    <mergeCell ref="B208:B216"/>
    <mergeCell ref="C208:H208"/>
    <mergeCell ref="C209:C210"/>
    <mergeCell ref="D209:D216"/>
    <mergeCell ref="H209:H216"/>
    <mergeCell ref="C211:C212"/>
    <mergeCell ref="C213:C214"/>
    <mergeCell ref="C215:C216"/>
    <mergeCell ref="A224:H224"/>
    <mergeCell ref="C225:H225"/>
    <mergeCell ref="A226:A229"/>
    <mergeCell ref="B226:B229"/>
    <mergeCell ref="C226:H226"/>
    <mergeCell ref="D227:D229"/>
    <mergeCell ref="H227:H229"/>
    <mergeCell ref="A217:A218"/>
    <mergeCell ref="B217:B218"/>
    <mergeCell ref="C217:H217"/>
    <mergeCell ref="A219:H219"/>
    <mergeCell ref="A220:A223"/>
    <mergeCell ref="B220:B223"/>
    <mergeCell ref="C220:H220"/>
    <mergeCell ref="C221:C223"/>
    <mergeCell ref="D221:D223"/>
    <mergeCell ref="A239:A240"/>
    <mergeCell ref="B239:B240"/>
    <mergeCell ref="C239:H239"/>
    <mergeCell ref="A230:A238"/>
    <mergeCell ref="B230:B238"/>
    <mergeCell ref="C230:H230"/>
    <mergeCell ref="C231:C232"/>
    <mergeCell ref="D231:D238"/>
    <mergeCell ref="H231:H238"/>
    <mergeCell ref="C233:C234"/>
    <mergeCell ref="C235:C236"/>
    <mergeCell ref="C237:C2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zoomScale="80" zoomScaleNormal="80" workbookViewId="0">
      <selection activeCell="G12" sqref="G12"/>
    </sheetView>
  </sheetViews>
  <sheetFormatPr defaultRowHeight="15" x14ac:dyDescent="0.25"/>
  <cols>
    <col min="1" max="1" width="6.42578125" customWidth="1"/>
    <col min="2" max="2" width="12.7109375" customWidth="1"/>
    <col min="3" max="3" width="48.5703125" customWidth="1"/>
    <col min="4" max="4" width="13.5703125" customWidth="1"/>
    <col min="5" max="5" width="13.85546875" customWidth="1"/>
    <col min="6" max="7" width="16.7109375" customWidth="1"/>
    <col min="8" max="8" width="65.7109375" customWidth="1"/>
  </cols>
  <sheetData>
    <row r="1" spans="1:8" ht="15.75" x14ac:dyDescent="0.25">
      <c r="A1" s="95"/>
      <c r="B1" s="62"/>
      <c r="C1" s="62"/>
      <c r="D1" s="119"/>
      <c r="E1" s="119"/>
      <c r="F1" s="62"/>
      <c r="G1" s="1"/>
      <c r="H1" s="151" t="s">
        <v>0</v>
      </c>
    </row>
    <row r="2" spans="1:8" ht="15.75" x14ac:dyDescent="0.25">
      <c r="A2" s="95"/>
      <c r="B2" s="62"/>
      <c r="C2" s="62"/>
      <c r="D2" s="119"/>
      <c r="E2" s="62"/>
      <c r="F2" s="152"/>
      <c r="G2" s="1"/>
      <c r="H2" s="122" t="s">
        <v>62</v>
      </c>
    </row>
    <row r="3" spans="1:8" ht="15.75" x14ac:dyDescent="0.25">
      <c r="A3" s="95"/>
      <c r="B3" s="62"/>
      <c r="C3" s="62"/>
      <c r="D3" s="119"/>
      <c r="E3" s="62"/>
      <c r="F3" s="115"/>
      <c r="G3" s="1"/>
      <c r="H3" s="122" t="s">
        <v>1</v>
      </c>
    </row>
    <row r="4" spans="1:8" ht="15.75" x14ac:dyDescent="0.25">
      <c r="A4" s="95"/>
      <c r="B4" s="62"/>
      <c r="C4" s="62"/>
      <c r="D4" s="119"/>
      <c r="E4" s="62"/>
      <c r="F4" s="115"/>
      <c r="G4" s="1"/>
      <c r="H4" s="153"/>
    </row>
    <row r="5" spans="1:8" ht="15.75" x14ac:dyDescent="0.25">
      <c r="A5" s="95"/>
      <c r="B5" s="62"/>
      <c r="C5" s="62"/>
      <c r="D5" s="119"/>
      <c r="E5" s="62"/>
      <c r="F5" s="115"/>
      <c r="G5" s="1"/>
      <c r="H5" s="127" t="s">
        <v>721</v>
      </c>
    </row>
    <row r="6" spans="1:8" ht="15.75" x14ac:dyDescent="0.25">
      <c r="A6" s="95"/>
      <c r="B6" s="62"/>
      <c r="C6" s="62"/>
      <c r="D6" s="119"/>
      <c r="E6" s="62"/>
      <c r="F6" s="115"/>
      <c r="G6" s="1"/>
      <c r="H6" s="69"/>
    </row>
    <row r="7" spans="1:8" ht="15.75" x14ac:dyDescent="0.25">
      <c r="A7" s="303" t="s">
        <v>10</v>
      </c>
      <c r="B7" s="303"/>
      <c r="C7" s="303"/>
      <c r="D7" s="303"/>
      <c r="E7" s="303"/>
      <c r="F7" s="303"/>
      <c r="G7" s="303"/>
      <c r="H7" s="303"/>
    </row>
    <row r="8" spans="1:8" ht="15.75" x14ac:dyDescent="0.25">
      <c r="A8" s="303" t="s">
        <v>521</v>
      </c>
      <c r="B8" s="303"/>
      <c r="C8" s="303"/>
      <c r="D8" s="303"/>
      <c r="E8" s="303"/>
      <c r="F8" s="303"/>
      <c r="G8" s="303"/>
      <c r="H8" s="303"/>
    </row>
    <row r="9" spans="1:8" ht="15.75" x14ac:dyDescent="0.25">
      <c r="A9" s="303" t="s">
        <v>726</v>
      </c>
      <c r="B9" s="303"/>
      <c r="C9" s="303"/>
      <c r="D9" s="303"/>
      <c r="E9" s="303"/>
      <c r="F9" s="303"/>
      <c r="G9" s="303"/>
      <c r="H9" s="303"/>
    </row>
    <row r="10" spans="1:8" ht="15.75" x14ac:dyDescent="0.25">
      <c r="A10" s="270" t="s">
        <v>106</v>
      </c>
      <c r="B10" s="270"/>
      <c r="C10" s="270"/>
      <c r="D10" s="270"/>
      <c r="E10" s="270"/>
      <c r="F10" s="270"/>
      <c r="G10" s="270"/>
      <c r="H10" s="270"/>
    </row>
    <row r="11" spans="1:8" ht="15.75" x14ac:dyDescent="0.25">
      <c r="A11" s="95"/>
      <c r="B11" s="62"/>
      <c r="C11" s="62"/>
      <c r="D11" s="119"/>
      <c r="E11" s="119"/>
      <c r="F11" s="62"/>
      <c r="G11" s="65"/>
      <c r="H11" s="65"/>
    </row>
    <row r="12" spans="1:8" ht="47.25" x14ac:dyDescent="0.25">
      <c r="A12" s="13" t="s">
        <v>4</v>
      </c>
      <c r="B12" s="13" t="s">
        <v>7</v>
      </c>
      <c r="C12" s="13" t="s">
        <v>5</v>
      </c>
      <c r="D12" s="13" t="s">
        <v>6</v>
      </c>
      <c r="E12" s="13" t="s">
        <v>8</v>
      </c>
      <c r="F12" s="13" t="s">
        <v>200</v>
      </c>
      <c r="G12" s="154" t="s">
        <v>201</v>
      </c>
      <c r="H12" s="13" t="s">
        <v>9</v>
      </c>
    </row>
    <row r="13" spans="1:8" ht="15.75" x14ac:dyDescent="0.25">
      <c r="A13" s="264" t="s">
        <v>19</v>
      </c>
      <c r="B13" s="257"/>
      <c r="C13" s="257"/>
      <c r="D13" s="257"/>
      <c r="E13" s="257"/>
      <c r="F13" s="257"/>
      <c r="G13" s="257"/>
      <c r="H13" s="257"/>
    </row>
    <row r="14" spans="1:8" ht="15.75" x14ac:dyDescent="0.25">
      <c r="A14" s="258" t="s">
        <v>20</v>
      </c>
      <c r="B14" s="257"/>
      <c r="C14" s="264" t="s">
        <v>21</v>
      </c>
      <c r="D14" s="257"/>
      <c r="E14" s="257"/>
      <c r="F14" s="257"/>
      <c r="G14" s="257"/>
      <c r="H14" s="257"/>
    </row>
    <row r="15" spans="1:8" ht="15.75" x14ac:dyDescent="0.25">
      <c r="A15" s="265" t="s">
        <v>15</v>
      </c>
      <c r="B15" s="258" t="s">
        <v>22</v>
      </c>
      <c r="C15" s="260" t="s">
        <v>57</v>
      </c>
      <c r="D15" s="265" t="s">
        <v>11</v>
      </c>
      <c r="E15" s="18" t="s">
        <v>12</v>
      </c>
      <c r="F15" s="265" t="s">
        <v>14</v>
      </c>
      <c r="G15" s="257"/>
      <c r="H15" s="265" t="s">
        <v>53</v>
      </c>
    </row>
    <row r="16" spans="1:8" ht="36.75" customHeight="1" x14ac:dyDescent="0.25">
      <c r="A16" s="257"/>
      <c r="B16" s="257"/>
      <c r="C16" s="257"/>
      <c r="D16" s="257"/>
      <c r="E16" s="18" t="s">
        <v>13</v>
      </c>
      <c r="F16" s="265" t="s">
        <v>14</v>
      </c>
      <c r="G16" s="257"/>
      <c r="H16" s="257"/>
    </row>
    <row r="17" spans="1:8" ht="19.5" customHeight="1" x14ac:dyDescent="0.25">
      <c r="A17" s="257"/>
      <c r="B17" s="257"/>
      <c r="C17" s="257"/>
      <c r="D17" s="2" t="s">
        <v>2</v>
      </c>
      <c r="E17" s="18"/>
      <c r="F17" s="265" t="s">
        <v>14</v>
      </c>
      <c r="G17" s="257"/>
      <c r="H17" s="257"/>
    </row>
    <row r="18" spans="1:8" ht="19.5" customHeight="1" x14ac:dyDescent="0.25">
      <c r="A18" s="262" t="s">
        <v>108</v>
      </c>
      <c r="B18" s="262"/>
      <c r="C18" s="258" t="s">
        <v>109</v>
      </c>
      <c r="D18" s="258"/>
      <c r="E18" s="258"/>
      <c r="F18" s="258"/>
      <c r="G18" s="258"/>
      <c r="H18" s="258"/>
    </row>
    <row r="19" spans="1:8" ht="15.75" x14ac:dyDescent="0.25">
      <c r="A19" s="265" t="s">
        <v>18</v>
      </c>
      <c r="B19" s="258" t="s">
        <v>23</v>
      </c>
      <c r="C19" s="260" t="s">
        <v>58</v>
      </c>
      <c r="D19" s="265" t="s">
        <v>11</v>
      </c>
      <c r="E19" s="18" t="s">
        <v>12</v>
      </c>
      <c r="F19" s="265" t="s">
        <v>14</v>
      </c>
      <c r="G19" s="257"/>
      <c r="H19" s="265" t="s">
        <v>52</v>
      </c>
    </row>
    <row r="20" spans="1:8" ht="15.75" x14ac:dyDescent="0.25">
      <c r="A20" s="257"/>
      <c r="B20" s="257"/>
      <c r="C20" s="257"/>
      <c r="D20" s="257"/>
      <c r="E20" s="18" t="s">
        <v>13</v>
      </c>
      <c r="F20" s="265" t="s">
        <v>14</v>
      </c>
      <c r="G20" s="257"/>
      <c r="H20" s="257"/>
    </row>
    <row r="21" spans="1:8" ht="15.75" x14ac:dyDescent="0.25">
      <c r="A21" s="257"/>
      <c r="B21" s="257"/>
      <c r="C21" s="257"/>
      <c r="D21" s="2" t="s">
        <v>2</v>
      </c>
      <c r="E21" s="18"/>
      <c r="F21" s="265" t="s">
        <v>14</v>
      </c>
      <c r="G21" s="257"/>
      <c r="H21" s="257"/>
    </row>
    <row r="22" spans="1:8" ht="15.75" x14ac:dyDescent="0.25">
      <c r="A22" s="265" t="s">
        <v>16</v>
      </c>
      <c r="B22" s="258" t="s">
        <v>24</v>
      </c>
      <c r="C22" s="260" t="s">
        <v>50</v>
      </c>
      <c r="D22" s="265" t="s">
        <v>11</v>
      </c>
      <c r="E22" s="18" t="s">
        <v>12</v>
      </c>
      <c r="F22" s="265" t="s">
        <v>14</v>
      </c>
      <c r="G22" s="257"/>
      <c r="H22" s="265" t="s">
        <v>52</v>
      </c>
    </row>
    <row r="23" spans="1:8" ht="15.75" x14ac:dyDescent="0.25">
      <c r="A23" s="257"/>
      <c r="B23" s="257"/>
      <c r="C23" s="257"/>
      <c r="D23" s="257"/>
      <c r="E23" s="18" t="s">
        <v>13</v>
      </c>
      <c r="F23" s="265" t="s">
        <v>14</v>
      </c>
      <c r="G23" s="257"/>
      <c r="H23" s="257"/>
    </row>
    <row r="24" spans="1:8" ht="15.75" x14ac:dyDescent="0.25">
      <c r="A24" s="257"/>
      <c r="B24" s="257"/>
      <c r="C24" s="257"/>
      <c r="D24" s="2" t="s">
        <v>2</v>
      </c>
      <c r="E24" s="18"/>
      <c r="F24" s="265" t="s">
        <v>14</v>
      </c>
      <c r="G24" s="257"/>
      <c r="H24" s="257"/>
    </row>
    <row r="25" spans="1:8" ht="15.75" x14ac:dyDescent="0.25">
      <c r="A25" s="265" t="s">
        <v>17</v>
      </c>
      <c r="B25" s="258" t="s">
        <v>210</v>
      </c>
      <c r="C25" s="258" t="s">
        <v>25</v>
      </c>
      <c r="D25" s="257"/>
      <c r="E25" s="257"/>
      <c r="F25" s="257"/>
      <c r="G25" s="257"/>
      <c r="H25" s="257"/>
    </row>
    <row r="26" spans="1:8" ht="15.75" x14ac:dyDescent="0.25">
      <c r="A26" s="257"/>
      <c r="B26" s="257"/>
      <c r="C26" s="260" t="s">
        <v>338</v>
      </c>
      <c r="D26" s="15" t="s">
        <v>11</v>
      </c>
      <c r="E26" s="2" t="s">
        <v>98</v>
      </c>
      <c r="F26" s="78">
        <v>7236</v>
      </c>
      <c r="G26" s="81">
        <f>F26*1.2</f>
        <v>8683.1999999999989</v>
      </c>
      <c r="H26" s="260"/>
    </row>
    <row r="27" spans="1:8" ht="15.75" x14ac:dyDescent="0.25">
      <c r="A27" s="257"/>
      <c r="B27" s="257"/>
      <c r="C27" s="260"/>
      <c r="D27" s="15" t="s">
        <v>11</v>
      </c>
      <c r="E27" s="2" t="s">
        <v>13</v>
      </c>
      <c r="F27" s="78">
        <v>9405</v>
      </c>
      <c r="G27" s="81">
        <f t="shared" ref="G27:G49" si="0">F27*1.2</f>
        <v>11286</v>
      </c>
      <c r="H27" s="257"/>
    </row>
    <row r="28" spans="1:8" ht="15.75" x14ac:dyDescent="0.25">
      <c r="A28" s="257"/>
      <c r="B28" s="257"/>
      <c r="C28" s="260" t="s">
        <v>339</v>
      </c>
      <c r="D28" s="15" t="s">
        <v>11</v>
      </c>
      <c r="E28" s="2" t="s">
        <v>98</v>
      </c>
      <c r="F28" s="78">
        <v>10009</v>
      </c>
      <c r="G28" s="81">
        <f t="shared" si="0"/>
        <v>12010.8</v>
      </c>
      <c r="H28" s="257"/>
    </row>
    <row r="29" spans="1:8" ht="15.75" x14ac:dyDescent="0.25">
      <c r="A29" s="257"/>
      <c r="B29" s="257"/>
      <c r="C29" s="260"/>
      <c r="D29" s="15" t="s">
        <v>11</v>
      </c>
      <c r="E29" s="2" t="s">
        <v>13</v>
      </c>
      <c r="F29" s="78">
        <v>13584</v>
      </c>
      <c r="G29" s="81">
        <f t="shared" si="0"/>
        <v>16300.8</v>
      </c>
      <c r="H29" s="257"/>
    </row>
    <row r="30" spans="1:8" ht="15.75" x14ac:dyDescent="0.25">
      <c r="A30" s="257"/>
      <c r="B30" s="257"/>
      <c r="C30" s="260" t="s">
        <v>340</v>
      </c>
      <c r="D30" s="15" t="s">
        <v>11</v>
      </c>
      <c r="E30" s="2" t="s">
        <v>98</v>
      </c>
      <c r="F30" s="78">
        <v>11817</v>
      </c>
      <c r="G30" s="81">
        <f t="shared" si="0"/>
        <v>14180.4</v>
      </c>
      <c r="H30" s="257"/>
    </row>
    <row r="31" spans="1:8" ht="15.75" x14ac:dyDescent="0.25">
      <c r="A31" s="257"/>
      <c r="B31" s="257"/>
      <c r="C31" s="260"/>
      <c r="D31" s="15" t="s">
        <v>11</v>
      </c>
      <c r="E31" s="2" t="s">
        <v>13</v>
      </c>
      <c r="F31" s="78">
        <v>15560</v>
      </c>
      <c r="G31" s="81">
        <f t="shared" si="0"/>
        <v>18672</v>
      </c>
      <c r="H31" s="257"/>
    </row>
    <row r="32" spans="1:8" ht="15.75" x14ac:dyDescent="0.25">
      <c r="A32" s="257"/>
      <c r="B32" s="257"/>
      <c r="C32" s="260" t="s">
        <v>341</v>
      </c>
      <c r="D32" s="15" t="s">
        <v>11</v>
      </c>
      <c r="E32" s="2" t="s">
        <v>98</v>
      </c>
      <c r="F32" s="78">
        <v>13264</v>
      </c>
      <c r="G32" s="81">
        <f t="shared" si="0"/>
        <v>15916.8</v>
      </c>
      <c r="H32" s="257"/>
    </row>
    <row r="33" spans="1:8" ht="15.75" x14ac:dyDescent="0.25">
      <c r="A33" s="257"/>
      <c r="B33" s="257"/>
      <c r="C33" s="260"/>
      <c r="D33" s="15" t="s">
        <v>11</v>
      </c>
      <c r="E33" s="2" t="s">
        <v>13</v>
      </c>
      <c r="F33" s="78">
        <v>16278</v>
      </c>
      <c r="G33" s="81">
        <f t="shared" si="0"/>
        <v>19533.599999999999</v>
      </c>
      <c r="H33" s="257"/>
    </row>
    <row r="34" spans="1:8" ht="15.75" x14ac:dyDescent="0.25">
      <c r="A34" s="257"/>
      <c r="B34" s="257"/>
      <c r="C34" s="260" t="s">
        <v>342</v>
      </c>
      <c r="D34" s="15" t="s">
        <v>11</v>
      </c>
      <c r="E34" s="2" t="s">
        <v>98</v>
      </c>
      <c r="F34" s="78">
        <v>14774</v>
      </c>
      <c r="G34" s="81">
        <f t="shared" si="0"/>
        <v>17728.8</v>
      </c>
      <c r="H34" s="257"/>
    </row>
    <row r="35" spans="1:8" ht="15.75" x14ac:dyDescent="0.25">
      <c r="A35" s="257"/>
      <c r="B35" s="257"/>
      <c r="C35" s="260"/>
      <c r="D35" s="15" t="s">
        <v>11</v>
      </c>
      <c r="E35" s="2" t="s">
        <v>13</v>
      </c>
      <c r="F35" s="78">
        <v>16811</v>
      </c>
      <c r="G35" s="81">
        <f t="shared" si="0"/>
        <v>20173.2</v>
      </c>
      <c r="H35" s="257"/>
    </row>
    <row r="36" spans="1:8" ht="15.75" x14ac:dyDescent="0.25">
      <c r="A36" s="257"/>
      <c r="B36" s="257"/>
      <c r="C36" s="260" t="s">
        <v>343</v>
      </c>
      <c r="D36" s="15" t="s">
        <v>11</v>
      </c>
      <c r="E36" s="2" t="s">
        <v>98</v>
      </c>
      <c r="F36" s="78">
        <v>18360</v>
      </c>
      <c r="G36" s="81">
        <f t="shared" si="0"/>
        <v>22032</v>
      </c>
      <c r="H36" s="257"/>
    </row>
    <row r="37" spans="1:8" ht="15.75" x14ac:dyDescent="0.25">
      <c r="A37" s="257"/>
      <c r="B37" s="257"/>
      <c r="C37" s="260"/>
      <c r="D37" s="15" t="s">
        <v>11</v>
      </c>
      <c r="E37" s="2" t="s">
        <v>13</v>
      </c>
      <c r="F37" s="78">
        <v>21069</v>
      </c>
      <c r="G37" s="81">
        <f t="shared" si="0"/>
        <v>25282.799999999999</v>
      </c>
      <c r="H37" s="257"/>
    </row>
    <row r="38" spans="1:8" ht="15.75" x14ac:dyDescent="0.25">
      <c r="A38" s="257"/>
      <c r="B38" s="257"/>
      <c r="C38" s="260" t="s">
        <v>344</v>
      </c>
      <c r="D38" s="15" t="s">
        <v>11</v>
      </c>
      <c r="E38" s="2" t="s">
        <v>98</v>
      </c>
      <c r="F38" s="78">
        <v>24267</v>
      </c>
      <c r="G38" s="81">
        <f t="shared" si="0"/>
        <v>29120.399999999998</v>
      </c>
      <c r="H38" s="257"/>
    </row>
    <row r="39" spans="1:8" ht="15.75" x14ac:dyDescent="0.25">
      <c r="A39" s="257"/>
      <c r="B39" s="257"/>
      <c r="C39" s="260"/>
      <c r="D39" s="15" t="s">
        <v>11</v>
      </c>
      <c r="E39" s="2" t="s">
        <v>13</v>
      </c>
      <c r="F39" s="78">
        <v>27851</v>
      </c>
      <c r="G39" s="81">
        <f t="shared" si="0"/>
        <v>33421.199999999997</v>
      </c>
      <c r="H39" s="257"/>
    </row>
    <row r="40" spans="1:8" ht="15.75" x14ac:dyDescent="0.25">
      <c r="A40" s="257"/>
      <c r="B40" s="257"/>
      <c r="C40" s="260" t="s">
        <v>345</v>
      </c>
      <c r="D40" s="15" t="s">
        <v>11</v>
      </c>
      <c r="E40" s="2" t="s">
        <v>98</v>
      </c>
      <c r="F40" s="78">
        <v>28490</v>
      </c>
      <c r="G40" s="81">
        <f t="shared" si="0"/>
        <v>34188</v>
      </c>
      <c r="H40" s="257"/>
    </row>
    <row r="41" spans="1:8" ht="15.75" x14ac:dyDescent="0.25">
      <c r="A41" s="257"/>
      <c r="B41" s="257"/>
      <c r="C41" s="260"/>
      <c r="D41" s="15" t="s">
        <v>11</v>
      </c>
      <c r="E41" s="2" t="s">
        <v>13</v>
      </c>
      <c r="F41" s="78">
        <v>32694</v>
      </c>
      <c r="G41" s="81">
        <f t="shared" si="0"/>
        <v>39232.799999999996</v>
      </c>
      <c r="H41" s="257"/>
    </row>
    <row r="42" spans="1:8" ht="15.75" x14ac:dyDescent="0.25">
      <c r="A42" s="257"/>
      <c r="B42" s="257"/>
      <c r="C42" s="260" t="s">
        <v>346</v>
      </c>
      <c r="D42" s="15" t="s">
        <v>11</v>
      </c>
      <c r="E42" s="2" t="s">
        <v>98</v>
      </c>
      <c r="F42" s="78">
        <v>34821</v>
      </c>
      <c r="G42" s="81">
        <f t="shared" si="0"/>
        <v>41785.199999999997</v>
      </c>
      <c r="H42" s="257"/>
    </row>
    <row r="43" spans="1:8" ht="15.75" x14ac:dyDescent="0.25">
      <c r="A43" s="257"/>
      <c r="B43" s="257"/>
      <c r="C43" s="260"/>
      <c r="D43" s="15" t="s">
        <v>11</v>
      </c>
      <c r="E43" s="2" t="s">
        <v>13</v>
      </c>
      <c r="F43" s="78">
        <v>39960</v>
      </c>
      <c r="G43" s="81">
        <f t="shared" si="0"/>
        <v>47952</v>
      </c>
      <c r="H43" s="257"/>
    </row>
    <row r="44" spans="1:8" ht="15.75" x14ac:dyDescent="0.25">
      <c r="A44" s="257"/>
      <c r="B44" s="257"/>
      <c r="C44" s="260" t="s">
        <v>347</v>
      </c>
      <c r="D44" s="15" t="s">
        <v>11</v>
      </c>
      <c r="E44" s="2" t="s">
        <v>98</v>
      </c>
      <c r="F44" s="78">
        <v>39041</v>
      </c>
      <c r="G44" s="81">
        <f t="shared" si="0"/>
        <v>46849.2</v>
      </c>
      <c r="H44" s="257"/>
    </row>
    <row r="45" spans="1:8" ht="15.75" x14ac:dyDescent="0.25">
      <c r="A45" s="257"/>
      <c r="B45" s="257"/>
      <c r="C45" s="260"/>
      <c r="D45" s="15" t="s">
        <v>11</v>
      </c>
      <c r="E45" s="2" t="s">
        <v>13</v>
      </c>
      <c r="F45" s="78">
        <v>44803</v>
      </c>
      <c r="G45" s="81">
        <f t="shared" si="0"/>
        <v>53763.6</v>
      </c>
      <c r="H45" s="257"/>
    </row>
    <row r="46" spans="1:8" ht="15.75" x14ac:dyDescent="0.25">
      <c r="A46" s="257"/>
      <c r="B46" s="257"/>
      <c r="C46" s="260" t="s">
        <v>348</v>
      </c>
      <c r="D46" s="15" t="s">
        <v>11</v>
      </c>
      <c r="E46" s="2" t="s">
        <v>98</v>
      </c>
      <c r="F46" s="78">
        <v>45372</v>
      </c>
      <c r="G46" s="81">
        <f t="shared" si="0"/>
        <v>54446.400000000001</v>
      </c>
      <c r="H46" s="257"/>
    </row>
    <row r="47" spans="1:8" ht="15.75" x14ac:dyDescent="0.25">
      <c r="A47" s="257"/>
      <c r="B47" s="257"/>
      <c r="C47" s="260"/>
      <c r="D47" s="15" t="s">
        <v>11</v>
      </c>
      <c r="E47" s="2" t="s">
        <v>13</v>
      </c>
      <c r="F47" s="78">
        <v>52068</v>
      </c>
      <c r="G47" s="81">
        <f t="shared" si="0"/>
        <v>62481.599999999999</v>
      </c>
      <c r="H47" s="257"/>
    </row>
    <row r="48" spans="1:8" ht="15.75" x14ac:dyDescent="0.25">
      <c r="A48" s="257"/>
      <c r="B48" s="257"/>
      <c r="C48" s="260" t="s">
        <v>349</v>
      </c>
      <c r="D48" s="15" t="s">
        <v>11</v>
      </c>
      <c r="E48" s="2" t="s">
        <v>98</v>
      </c>
      <c r="F48" s="78">
        <v>60543</v>
      </c>
      <c r="G48" s="81">
        <f t="shared" si="0"/>
        <v>72651.599999999991</v>
      </c>
      <c r="H48" s="257"/>
    </row>
    <row r="49" spans="1:8" ht="15.75" x14ac:dyDescent="0.25">
      <c r="A49" s="257"/>
      <c r="B49" s="257"/>
      <c r="C49" s="260"/>
      <c r="D49" s="15" t="s">
        <v>11</v>
      </c>
      <c r="E49" s="2" t="s">
        <v>13</v>
      </c>
      <c r="F49" s="78">
        <v>66598</v>
      </c>
      <c r="G49" s="81">
        <f t="shared" si="0"/>
        <v>79917.599999999991</v>
      </c>
      <c r="H49" s="257"/>
    </row>
    <row r="50" spans="1:8" ht="15.75" x14ac:dyDescent="0.25">
      <c r="A50" s="257">
        <v>5</v>
      </c>
      <c r="B50" s="258" t="s">
        <v>27</v>
      </c>
      <c r="C50" s="264" t="s">
        <v>325</v>
      </c>
      <c r="D50" s="264"/>
      <c r="E50" s="264"/>
      <c r="F50" s="264"/>
      <c r="G50" s="264"/>
      <c r="H50" s="264"/>
    </row>
    <row r="51" spans="1:8" ht="15.75" x14ac:dyDescent="0.25">
      <c r="A51" s="257"/>
      <c r="B51" s="258"/>
      <c r="C51" s="260" t="s">
        <v>29</v>
      </c>
      <c r="D51" s="2" t="s">
        <v>11</v>
      </c>
      <c r="E51" s="32" t="s">
        <v>12</v>
      </c>
      <c r="F51" s="78">
        <f>[1]комплексы!E13</f>
        <v>9592</v>
      </c>
      <c r="G51" s="78">
        <f>F51*1.2</f>
        <v>11510.4</v>
      </c>
      <c r="H51" s="2" t="s">
        <v>350</v>
      </c>
    </row>
    <row r="52" spans="1:8" ht="15.75" x14ac:dyDescent="0.25">
      <c r="A52" s="257"/>
      <c r="B52" s="258"/>
      <c r="C52" s="260"/>
      <c r="D52" s="2" t="s">
        <v>11</v>
      </c>
      <c r="E52" s="32" t="s">
        <v>12</v>
      </c>
      <c r="F52" s="78">
        <f>[1]комплексы!E19</f>
        <v>9862</v>
      </c>
      <c r="G52" s="78">
        <f t="shared" ref="G52:G56" si="1">F52*1.2</f>
        <v>11834.4</v>
      </c>
      <c r="H52" s="2" t="s">
        <v>351</v>
      </c>
    </row>
    <row r="53" spans="1:8" ht="15.75" x14ac:dyDescent="0.25">
      <c r="A53" s="257"/>
      <c r="B53" s="258"/>
      <c r="C53" s="260"/>
      <c r="D53" s="2" t="s">
        <v>11</v>
      </c>
      <c r="E53" s="32" t="s">
        <v>13</v>
      </c>
      <c r="F53" s="78">
        <f>[1]комплексы!E25</f>
        <v>9890</v>
      </c>
      <c r="G53" s="78">
        <f t="shared" si="1"/>
        <v>11868</v>
      </c>
      <c r="H53" s="2"/>
    </row>
    <row r="54" spans="1:8" ht="15.75" x14ac:dyDescent="0.25">
      <c r="A54" s="257"/>
      <c r="B54" s="258"/>
      <c r="C54" s="260" t="s">
        <v>31</v>
      </c>
      <c r="D54" s="2" t="s">
        <v>11</v>
      </c>
      <c r="E54" s="32" t="s">
        <v>12</v>
      </c>
      <c r="F54" s="78">
        <f>[1]комплексы!E30</f>
        <v>6496</v>
      </c>
      <c r="G54" s="78">
        <f t="shared" si="1"/>
        <v>7795.2</v>
      </c>
      <c r="H54" s="2" t="s">
        <v>350</v>
      </c>
    </row>
    <row r="55" spans="1:8" ht="15.75" x14ac:dyDescent="0.25">
      <c r="A55" s="257"/>
      <c r="B55" s="258"/>
      <c r="C55" s="260"/>
      <c r="D55" s="2" t="s">
        <v>11</v>
      </c>
      <c r="E55" s="32" t="s">
        <v>12</v>
      </c>
      <c r="F55" s="78">
        <f>[1]комплексы!E35</f>
        <v>6766</v>
      </c>
      <c r="G55" s="78">
        <f t="shared" si="1"/>
        <v>8119.2</v>
      </c>
      <c r="H55" s="2" t="s">
        <v>351</v>
      </c>
    </row>
    <row r="56" spans="1:8" ht="15.75" x14ac:dyDescent="0.25">
      <c r="A56" s="257"/>
      <c r="B56" s="258"/>
      <c r="C56" s="260"/>
      <c r="D56" s="2" t="s">
        <v>11</v>
      </c>
      <c r="E56" s="32" t="s">
        <v>13</v>
      </c>
      <c r="F56" s="78">
        <f>[1]комплексы!E41</f>
        <v>6766</v>
      </c>
      <c r="G56" s="78">
        <f t="shared" si="1"/>
        <v>8119.2</v>
      </c>
      <c r="H56" s="2"/>
    </row>
    <row r="57" spans="1:8" ht="15.75" x14ac:dyDescent="0.25">
      <c r="A57" s="257">
        <v>6</v>
      </c>
      <c r="B57" s="258" t="s">
        <v>33</v>
      </c>
      <c r="C57" s="260" t="s">
        <v>34</v>
      </c>
      <c r="D57" s="260" t="s">
        <v>11</v>
      </c>
      <c r="E57" s="32" t="s">
        <v>12</v>
      </c>
      <c r="F57" s="259" t="s">
        <v>107</v>
      </c>
      <c r="G57" s="259"/>
      <c r="H57" s="2"/>
    </row>
    <row r="58" spans="1:8" ht="15.75" x14ac:dyDescent="0.25">
      <c r="A58" s="257"/>
      <c r="B58" s="258"/>
      <c r="C58" s="260"/>
      <c r="D58" s="260"/>
      <c r="E58" s="32" t="s">
        <v>13</v>
      </c>
      <c r="F58" s="259" t="s">
        <v>107</v>
      </c>
      <c r="G58" s="259"/>
      <c r="H58" s="265"/>
    </row>
    <row r="59" spans="1:8" ht="15.75" x14ac:dyDescent="0.25">
      <c r="A59" s="257"/>
      <c r="B59" s="258"/>
      <c r="C59" s="260"/>
      <c r="D59" s="2" t="s">
        <v>2</v>
      </c>
      <c r="E59" s="32"/>
      <c r="F59" s="259" t="s">
        <v>107</v>
      </c>
      <c r="G59" s="259"/>
      <c r="H59" s="257"/>
    </row>
    <row r="60" spans="1:8" ht="15.75" x14ac:dyDescent="0.25">
      <c r="A60" s="258" t="s">
        <v>35</v>
      </c>
      <c r="B60" s="257"/>
      <c r="C60" s="257"/>
      <c r="D60" s="257"/>
      <c r="E60" s="257"/>
      <c r="F60" s="257"/>
      <c r="G60" s="257"/>
      <c r="H60" s="257"/>
    </row>
    <row r="61" spans="1:8" ht="15.75" x14ac:dyDescent="0.25">
      <c r="A61" s="258" t="s">
        <v>36</v>
      </c>
      <c r="B61" s="257"/>
      <c r="C61" s="258" t="s">
        <v>37</v>
      </c>
      <c r="D61" s="257"/>
      <c r="E61" s="257"/>
      <c r="F61" s="257"/>
      <c r="G61" s="257"/>
      <c r="H61" s="257"/>
    </row>
    <row r="62" spans="1:8" ht="15.75" x14ac:dyDescent="0.25">
      <c r="A62" s="265" t="s">
        <v>60</v>
      </c>
      <c r="B62" s="258" t="s">
        <v>140</v>
      </c>
      <c r="C62" s="265" t="s">
        <v>38</v>
      </c>
      <c r="D62" s="265" t="s">
        <v>11</v>
      </c>
      <c r="E62" s="32" t="s">
        <v>12</v>
      </c>
      <c r="F62" s="265" t="s">
        <v>14</v>
      </c>
      <c r="G62" s="257"/>
      <c r="H62" s="265"/>
    </row>
    <row r="63" spans="1:8" ht="15.75" x14ac:dyDescent="0.25">
      <c r="A63" s="257"/>
      <c r="B63" s="257"/>
      <c r="C63" s="257"/>
      <c r="D63" s="257"/>
      <c r="E63" s="32" t="s">
        <v>13</v>
      </c>
      <c r="F63" s="265" t="s">
        <v>14</v>
      </c>
      <c r="G63" s="257"/>
      <c r="H63" s="257"/>
    </row>
    <row r="64" spans="1:8" ht="15.75" x14ac:dyDescent="0.25">
      <c r="A64" s="257"/>
      <c r="B64" s="257"/>
      <c r="C64" s="257"/>
      <c r="D64" s="18" t="s">
        <v>2</v>
      </c>
      <c r="E64" s="18"/>
      <c r="F64" s="265" t="s">
        <v>14</v>
      </c>
      <c r="G64" s="257"/>
      <c r="H64" s="257"/>
    </row>
    <row r="65" spans="1:8" ht="100.5" customHeight="1" x14ac:dyDescent="0.25">
      <c r="A65" s="265" t="s">
        <v>39</v>
      </c>
      <c r="B65" s="258" t="s">
        <v>42</v>
      </c>
      <c r="C65" s="265" t="s">
        <v>43</v>
      </c>
      <c r="D65" s="265" t="s">
        <v>40</v>
      </c>
      <c r="E65" s="266" t="s">
        <v>98</v>
      </c>
      <c r="F65" s="55">
        <v>315</v>
      </c>
      <c r="G65" s="55">
        <v>360</v>
      </c>
      <c r="H65" s="2" t="s">
        <v>99</v>
      </c>
    </row>
    <row r="66" spans="1:8" ht="100.5" customHeight="1" x14ac:dyDescent="0.25">
      <c r="A66" s="257"/>
      <c r="B66" s="257"/>
      <c r="C66" s="257"/>
      <c r="D66" s="265"/>
      <c r="E66" s="266"/>
      <c r="F66" s="17">
        <v>630</v>
      </c>
      <c r="G66" s="55">
        <v>720</v>
      </c>
      <c r="H66" s="2" t="s">
        <v>100</v>
      </c>
    </row>
    <row r="67" spans="1:8" ht="100.5" customHeight="1" x14ac:dyDescent="0.25">
      <c r="A67" s="257"/>
      <c r="B67" s="257"/>
      <c r="C67" s="257"/>
      <c r="D67" s="265"/>
      <c r="E67" s="266"/>
      <c r="F67" s="17">
        <v>1050</v>
      </c>
      <c r="G67" s="55">
        <v>1200</v>
      </c>
      <c r="H67" s="2" t="s">
        <v>101</v>
      </c>
    </row>
    <row r="68" spans="1:8" ht="100.5" customHeight="1" x14ac:dyDescent="0.25">
      <c r="A68" s="257"/>
      <c r="B68" s="257"/>
      <c r="C68" s="257"/>
      <c r="D68" s="265" t="s">
        <v>40</v>
      </c>
      <c r="E68" s="266" t="s">
        <v>102</v>
      </c>
      <c r="F68" s="17">
        <v>525</v>
      </c>
      <c r="G68" s="55">
        <v>600</v>
      </c>
      <c r="H68" s="2" t="s">
        <v>99</v>
      </c>
    </row>
    <row r="69" spans="1:8" ht="103.5" customHeight="1" x14ac:dyDescent="0.25">
      <c r="A69" s="257"/>
      <c r="B69" s="257"/>
      <c r="C69" s="257"/>
      <c r="D69" s="265"/>
      <c r="E69" s="266"/>
      <c r="F69" s="17">
        <v>787</v>
      </c>
      <c r="G69" s="55">
        <v>900</v>
      </c>
      <c r="H69" s="2" t="s">
        <v>100</v>
      </c>
    </row>
    <row r="70" spans="1:8" ht="94.5" x14ac:dyDescent="0.25">
      <c r="A70" s="257"/>
      <c r="B70" s="257"/>
      <c r="C70" s="257"/>
      <c r="D70" s="265"/>
      <c r="E70" s="266"/>
      <c r="F70" s="17">
        <v>1050</v>
      </c>
      <c r="G70" s="55">
        <v>1200</v>
      </c>
      <c r="H70" s="2" t="s">
        <v>101</v>
      </c>
    </row>
    <row r="71" spans="1:8" ht="99.75" customHeight="1" x14ac:dyDescent="0.25">
      <c r="A71" s="257"/>
      <c r="B71" s="257"/>
      <c r="C71" s="257"/>
      <c r="D71" s="265" t="s">
        <v>41</v>
      </c>
      <c r="E71" s="32" t="s">
        <v>2</v>
      </c>
      <c r="F71" s="43">
        <v>3000</v>
      </c>
      <c r="G71" s="55">
        <f>F71*1.2</f>
        <v>3600</v>
      </c>
      <c r="H71" s="2" t="s">
        <v>80</v>
      </c>
    </row>
    <row r="72" spans="1:8" ht="100.5" customHeight="1" x14ac:dyDescent="0.25">
      <c r="A72" s="257"/>
      <c r="B72" s="257"/>
      <c r="C72" s="257"/>
      <c r="D72" s="265"/>
      <c r="E72" s="32" t="s">
        <v>2</v>
      </c>
      <c r="F72" s="43">
        <v>4500</v>
      </c>
      <c r="G72" s="55">
        <f>F72*1.2</f>
        <v>5400</v>
      </c>
      <c r="H72" s="2" t="s">
        <v>61</v>
      </c>
    </row>
    <row r="73" spans="1:8" ht="75.75" customHeight="1" x14ac:dyDescent="0.25">
      <c r="A73" s="257"/>
      <c r="B73" s="257"/>
      <c r="C73" s="257"/>
      <c r="D73" s="18" t="s">
        <v>40</v>
      </c>
      <c r="E73" s="32" t="s">
        <v>11</v>
      </c>
      <c r="F73" s="18" t="s">
        <v>14</v>
      </c>
      <c r="G73" s="18"/>
      <c r="H73" s="2" t="s">
        <v>90</v>
      </c>
    </row>
    <row r="74" spans="1:8" ht="15.75" x14ac:dyDescent="0.25">
      <c r="A74" s="257"/>
      <c r="B74" s="257"/>
      <c r="C74" s="257"/>
      <c r="D74" s="18" t="s">
        <v>91</v>
      </c>
      <c r="E74" s="32" t="s">
        <v>2</v>
      </c>
      <c r="F74" s="18" t="s">
        <v>14</v>
      </c>
      <c r="G74" s="18"/>
      <c r="H74" s="2"/>
    </row>
    <row r="75" spans="1:8" ht="15.75" x14ac:dyDescent="0.25">
      <c r="A75" s="257"/>
      <c r="B75" s="257"/>
      <c r="C75" s="257"/>
      <c r="D75" s="18" t="s">
        <v>91</v>
      </c>
      <c r="E75" s="32" t="s">
        <v>2</v>
      </c>
      <c r="F75" s="18" t="s">
        <v>14</v>
      </c>
      <c r="G75" s="18"/>
      <c r="H75" s="2"/>
    </row>
    <row r="76" spans="1:8" ht="15.75" x14ac:dyDescent="0.25">
      <c r="A76" s="258" t="s">
        <v>81</v>
      </c>
      <c r="B76" s="257"/>
      <c r="C76" s="258" t="s">
        <v>82</v>
      </c>
      <c r="D76" s="257"/>
      <c r="E76" s="257"/>
      <c r="F76" s="257"/>
      <c r="G76" s="257"/>
      <c r="H76" s="257"/>
    </row>
    <row r="77" spans="1:8" ht="15.75" x14ac:dyDescent="0.25">
      <c r="A77" s="260">
        <v>9</v>
      </c>
      <c r="B77" s="276" t="s">
        <v>83</v>
      </c>
      <c r="C77" s="264" t="s">
        <v>260</v>
      </c>
      <c r="D77" s="264"/>
      <c r="E77" s="264"/>
      <c r="F77" s="264"/>
      <c r="G77" s="264"/>
      <c r="H77" s="264"/>
    </row>
    <row r="78" spans="1:8" ht="63" x14ac:dyDescent="0.25">
      <c r="A78" s="260"/>
      <c r="B78" s="276"/>
      <c r="C78" s="2" t="s">
        <v>352</v>
      </c>
      <c r="D78" s="260" t="s">
        <v>353</v>
      </c>
      <c r="E78" s="260" t="s">
        <v>354</v>
      </c>
      <c r="F78" s="78">
        <v>1919</v>
      </c>
      <c r="G78" s="78">
        <f>F78*1.2</f>
        <v>2302.7999999999997</v>
      </c>
      <c r="H78" s="277" t="s">
        <v>355</v>
      </c>
    </row>
    <row r="79" spans="1:8" ht="63" x14ac:dyDescent="0.25">
      <c r="A79" s="260"/>
      <c r="B79" s="276"/>
      <c r="C79" s="2" t="s">
        <v>356</v>
      </c>
      <c r="D79" s="260"/>
      <c r="E79" s="260"/>
      <c r="F79" s="78">
        <v>2054</v>
      </c>
      <c r="G79" s="78">
        <f t="shared" ref="G79:G82" si="2">F79*1.2</f>
        <v>2464.7999999999997</v>
      </c>
      <c r="H79" s="277"/>
    </row>
    <row r="80" spans="1:8" ht="47.25" x14ac:dyDescent="0.25">
      <c r="A80" s="260"/>
      <c r="B80" s="276"/>
      <c r="C80" s="2" t="s">
        <v>357</v>
      </c>
      <c r="D80" s="260"/>
      <c r="E80" s="260"/>
      <c r="F80" s="78">
        <v>1548</v>
      </c>
      <c r="G80" s="78">
        <f t="shared" si="2"/>
        <v>1857.6</v>
      </c>
      <c r="H80" s="260"/>
    </row>
    <row r="81" spans="1:8" ht="47.25" x14ac:dyDescent="0.25">
      <c r="A81" s="260"/>
      <c r="B81" s="276"/>
      <c r="C81" s="2" t="s">
        <v>358</v>
      </c>
      <c r="D81" s="260" t="s">
        <v>353</v>
      </c>
      <c r="E81" s="260" t="s">
        <v>13</v>
      </c>
      <c r="F81" s="78">
        <v>2054</v>
      </c>
      <c r="G81" s="78">
        <f t="shared" si="2"/>
        <v>2464.7999999999997</v>
      </c>
      <c r="H81" s="257"/>
    </row>
    <row r="82" spans="1:8" ht="47.25" x14ac:dyDescent="0.25">
      <c r="A82" s="260"/>
      <c r="B82" s="276"/>
      <c r="C82" s="2" t="s">
        <v>357</v>
      </c>
      <c r="D82" s="260"/>
      <c r="E82" s="260"/>
      <c r="F82" s="78">
        <v>1562</v>
      </c>
      <c r="G82" s="78">
        <f t="shared" si="2"/>
        <v>1874.3999999999999</v>
      </c>
      <c r="H82" s="257"/>
    </row>
    <row r="83" spans="1:8" ht="15.75" x14ac:dyDescent="0.25">
      <c r="A83" s="260">
        <v>10</v>
      </c>
      <c r="B83" s="276" t="s">
        <v>87</v>
      </c>
      <c r="C83" s="264" t="s">
        <v>88</v>
      </c>
      <c r="D83" s="264"/>
      <c r="E83" s="264"/>
      <c r="F83" s="264"/>
      <c r="G83" s="264"/>
      <c r="H83" s="264"/>
    </row>
    <row r="84" spans="1:8" ht="15.75" x14ac:dyDescent="0.25">
      <c r="A84" s="260"/>
      <c r="B84" s="276"/>
      <c r="C84" s="260" t="s">
        <v>359</v>
      </c>
      <c r="D84" s="260" t="s">
        <v>360</v>
      </c>
      <c r="E84" s="2" t="s">
        <v>98</v>
      </c>
      <c r="F84" s="17">
        <v>198</v>
      </c>
      <c r="G84" s="17">
        <f>F84*1.2</f>
        <v>237.6</v>
      </c>
      <c r="H84" s="17"/>
    </row>
    <row r="85" spans="1:8" ht="15.75" x14ac:dyDescent="0.25">
      <c r="A85" s="260"/>
      <c r="B85" s="276"/>
      <c r="C85" s="260"/>
      <c r="D85" s="260"/>
      <c r="E85" s="2" t="s">
        <v>13</v>
      </c>
      <c r="F85" s="17">
        <v>391</v>
      </c>
      <c r="G85" s="17">
        <f>F85*1.2</f>
        <v>469.2</v>
      </c>
      <c r="H85" s="15"/>
    </row>
    <row r="86" spans="1:8" ht="15.75" x14ac:dyDescent="0.25">
      <c r="A86" s="257">
        <v>11</v>
      </c>
      <c r="B86" s="258" t="s">
        <v>44</v>
      </c>
      <c r="C86" s="481" t="s">
        <v>157</v>
      </c>
      <c r="D86" s="482"/>
      <c r="E86" s="482"/>
      <c r="F86" s="482"/>
      <c r="G86" s="482"/>
      <c r="H86" s="483"/>
    </row>
    <row r="87" spans="1:8" ht="31.5" x14ac:dyDescent="0.25">
      <c r="A87" s="257"/>
      <c r="B87" s="258"/>
      <c r="C87" s="2" t="s">
        <v>77</v>
      </c>
      <c r="D87" s="2" t="s">
        <v>45</v>
      </c>
      <c r="E87" s="17" t="s">
        <v>56</v>
      </c>
      <c r="F87" s="32">
        <v>711</v>
      </c>
      <c r="G87" s="17">
        <f>F87*1.2</f>
        <v>853.19999999999993</v>
      </c>
      <c r="H87" s="2" t="s">
        <v>103</v>
      </c>
    </row>
    <row r="88" spans="1:8" ht="15.75" x14ac:dyDescent="0.25">
      <c r="A88" s="257">
        <v>12</v>
      </c>
      <c r="B88" s="258" t="s">
        <v>297</v>
      </c>
      <c r="C88" s="264" t="s">
        <v>178</v>
      </c>
      <c r="D88" s="264"/>
      <c r="E88" s="264"/>
      <c r="F88" s="264"/>
      <c r="G88" s="264"/>
      <c r="H88" s="264"/>
    </row>
    <row r="89" spans="1:8" ht="31.5" x14ac:dyDescent="0.25">
      <c r="A89" s="257"/>
      <c r="B89" s="258"/>
      <c r="C89" s="2" t="s">
        <v>178</v>
      </c>
      <c r="D89" s="2" t="s">
        <v>63</v>
      </c>
      <c r="E89" s="2" t="s">
        <v>282</v>
      </c>
      <c r="F89" s="81">
        <v>2090</v>
      </c>
      <c r="G89" s="78">
        <f>F89*1.2</f>
        <v>2508</v>
      </c>
      <c r="H89" s="2" t="s">
        <v>179</v>
      </c>
    </row>
    <row r="90" spans="1:8" ht="15.75" x14ac:dyDescent="0.25">
      <c r="A90" s="258" t="s">
        <v>46</v>
      </c>
      <c r="B90" s="257"/>
      <c r="C90" s="264" t="s">
        <v>47</v>
      </c>
      <c r="D90" s="257"/>
      <c r="E90" s="257"/>
      <c r="F90" s="257"/>
      <c r="G90" s="257"/>
      <c r="H90" s="257"/>
    </row>
    <row r="91" spans="1:8" ht="34.5" customHeight="1" x14ac:dyDescent="0.25">
      <c r="A91" s="260">
        <v>13</v>
      </c>
      <c r="B91" s="305" t="s">
        <v>306</v>
      </c>
      <c r="C91" s="260" t="s">
        <v>55</v>
      </c>
      <c r="D91" s="260" t="s">
        <v>11</v>
      </c>
      <c r="E91" s="260" t="s">
        <v>56</v>
      </c>
      <c r="F91" s="277" t="s">
        <v>14</v>
      </c>
      <c r="G91" s="277"/>
      <c r="H91" s="277" t="s">
        <v>361</v>
      </c>
    </row>
    <row r="92" spans="1:8" ht="29.25" customHeight="1" x14ac:dyDescent="0.25">
      <c r="A92" s="260"/>
      <c r="B92" s="305"/>
      <c r="C92" s="260"/>
      <c r="D92" s="260"/>
      <c r="E92" s="260"/>
      <c r="F92" s="260"/>
      <c r="G92" s="260"/>
      <c r="H92" s="277"/>
    </row>
    <row r="93" spans="1:8" ht="47.25" x14ac:dyDescent="0.25">
      <c r="A93" s="2">
        <v>14</v>
      </c>
      <c r="B93" s="80" t="s">
        <v>48</v>
      </c>
      <c r="C93" s="2" t="s">
        <v>49</v>
      </c>
      <c r="D93" s="2" t="s">
        <v>11</v>
      </c>
      <c r="E93" s="2" t="s">
        <v>56</v>
      </c>
      <c r="F93" s="260" t="s">
        <v>308</v>
      </c>
      <c r="G93" s="260"/>
      <c r="H93" s="78" t="s">
        <v>74</v>
      </c>
    </row>
    <row r="94" spans="1:8" ht="15.75" x14ac:dyDescent="0.25">
      <c r="A94" s="372">
        <v>15</v>
      </c>
      <c r="B94" s="455" t="s">
        <v>313</v>
      </c>
      <c r="C94" s="264" t="s">
        <v>186</v>
      </c>
      <c r="D94" s="264"/>
      <c r="E94" s="264"/>
      <c r="F94" s="264"/>
      <c r="G94" s="264"/>
      <c r="H94" s="264"/>
    </row>
    <row r="95" spans="1:8" ht="52.5" customHeight="1" x14ac:dyDescent="0.25">
      <c r="A95" s="352"/>
      <c r="B95" s="458"/>
      <c r="C95" s="260" t="s">
        <v>51</v>
      </c>
      <c r="D95" s="260" t="s">
        <v>362</v>
      </c>
      <c r="E95" s="260" t="s">
        <v>282</v>
      </c>
      <c r="F95" s="259" t="s">
        <v>14</v>
      </c>
      <c r="G95" s="257"/>
      <c r="H95" s="260" t="s">
        <v>363</v>
      </c>
    </row>
    <row r="96" spans="1:8" ht="41.25" customHeight="1" x14ac:dyDescent="0.25">
      <c r="A96" s="352"/>
      <c r="B96" s="458"/>
      <c r="C96" s="260"/>
      <c r="D96" s="260"/>
      <c r="E96" s="260"/>
      <c r="F96" s="257"/>
      <c r="G96" s="257"/>
      <c r="H96" s="260"/>
    </row>
    <row r="97" spans="1:8" ht="36" customHeight="1" x14ac:dyDescent="0.25">
      <c r="A97" s="352"/>
      <c r="B97" s="458"/>
      <c r="C97" s="260"/>
      <c r="D97" s="2" t="s">
        <v>11</v>
      </c>
      <c r="E97" s="2" t="s">
        <v>282</v>
      </c>
      <c r="F97" s="277" t="s">
        <v>14</v>
      </c>
      <c r="G97" s="260"/>
      <c r="H97" s="2" t="s">
        <v>676</v>
      </c>
    </row>
    <row r="98" spans="1:8" ht="31.5" x14ac:dyDescent="0.25">
      <c r="A98" s="330"/>
      <c r="B98" s="460"/>
      <c r="C98" s="260"/>
      <c r="D98" s="2" t="s">
        <v>63</v>
      </c>
      <c r="E98" s="2" t="s">
        <v>282</v>
      </c>
      <c r="F98" s="81">
        <v>212</v>
      </c>
      <c r="G98" s="78">
        <v>254.39999999999998</v>
      </c>
      <c r="H98" s="2" t="s">
        <v>64</v>
      </c>
    </row>
    <row r="99" spans="1:8" ht="47.25" x14ac:dyDescent="0.25">
      <c r="A99" s="2">
        <v>16</v>
      </c>
      <c r="B99" s="80" t="s">
        <v>316</v>
      </c>
      <c r="C99" s="2" t="s">
        <v>189</v>
      </c>
      <c r="D99" s="2" t="s">
        <v>364</v>
      </c>
      <c r="E99" s="2" t="s">
        <v>282</v>
      </c>
      <c r="F99" s="81">
        <v>2182</v>
      </c>
      <c r="G99" s="78">
        <v>2618.4</v>
      </c>
      <c r="H99" s="78"/>
    </row>
    <row r="100" spans="1:8" ht="15.75" x14ac:dyDescent="0.25">
      <c r="A100" s="304" t="s">
        <v>190</v>
      </c>
      <c r="B100" s="304"/>
      <c r="C100" s="264" t="s">
        <v>191</v>
      </c>
      <c r="D100" s="264"/>
      <c r="E100" s="264"/>
      <c r="F100" s="264"/>
      <c r="G100" s="264"/>
      <c r="H100" s="264"/>
    </row>
    <row r="101" spans="1:8" ht="31.5" x14ac:dyDescent="0.25">
      <c r="A101" s="2">
        <v>17</v>
      </c>
      <c r="B101" s="102" t="s">
        <v>192</v>
      </c>
      <c r="C101" s="2" t="s">
        <v>365</v>
      </c>
      <c r="D101" s="2" t="s">
        <v>318</v>
      </c>
      <c r="E101" s="2" t="s">
        <v>366</v>
      </c>
      <c r="F101" s="81">
        <v>1823</v>
      </c>
      <c r="G101" s="81">
        <v>2187.6</v>
      </c>
      <c r="H101" s="78" t="s">
        <v>367</v>
      </c>
    </row>
    <row r="102" spans="1:8" ht="15.75" x14ac:dyDescent="0.25">
      <c r="A102" s="157"/>
      <c r="B102" s="95"/>
      <c r="C102" s="119"/>
      <c r="D102" s="1"/>
      <c r="E102" s="1"/>
      <c r="F102" s="65"/>
      <c r="G102" s="1"/>
      <c r="H102" s="158"/>
    </row>
    <row r="103" spans="1:8" ht="15.75" x14ac:dyDescent="0.25">
      <c r="A103" s="94" t="s">
        <v>65</v>
      </c>
      <c r="B103" s="94"/>
      <c r="C103" s="94"/>
      <c r="D103" s="62"/>
      <c r="E103" s="62"/>
      <c r="F103" s="1"/>
      <c r="G103" s="1"/>
      <c r="H103" s="1"/>
    </row>
    <row r="104" spans="1:8" ht="15.75" x14ac:dyDescent="0.25">
      <c r="A104" s="94"/>
      <c r="B104" s="94"/>
      <c r="C104" s="94"/>
      <c r="D104" s="1"/>
      <c r="E104" s="62"/>
      <c r="F104" s="1"/>
      <c r="G104" s="1"/>
      <c r="H104" s="1"/>
    </row>
    <row r="105" spans="1:8" ht="15.75" x14ac:dyDescent="0.25">
      <c r="A105" s="94" t="s">
        <v>96</v>
      </c>
      <c r="B105" s="94"/>
      <c r="C105" s="94"/>
      <c r="D105" s="1"/>
      <c r="E105" s="115" t="s">
        <v>333</v>
      </c>
      <c r="F105" s="1"/>
      <c r="G105" s="1"/>
      <c r="H105" s="1"/>
    </row>
    <row r="106" spans="1:8" ht="15.75" x14ac:dyDescent="0.25">
      <c r="A106" s="94"/>
      <c r="B106" s="94"/>
      <c r="C106" s="94"/>
      <c r="D106" s="1"/>
      <c r="E106" s="115"/>
      <c r="F106" s="1"/>
      <c r="G106" s="1"/>
      <c r="H106" s="1"/>
    </row>
    <row r="107" spans="1:8" ht="15.75" x14ac:dyDescent="0.25">
      <c r="A107" s="94" t="s">
        <v>66</v>
      </c>
      <c r="B107" s="94"/>
      <c r="C107" s="94"/>
      <c r="D107" s="1"/>
      <c r="E107" s="115" t="s">
        <v>334</v>
      </c>
      <c r="F107" s="1"/>
      <c r="G107" s="1"/>
      <c r="H107" s="1"/>
    </row>
    <row r="108" spans="1:8" ht="15.75" x14ac:dyDescent="0.25">
      <c r="A108" s="94"/>
      <c r="B108" s="94"/>
      <c r="C108" s="94"/>
      <c r="D108" s="1"/>
      <c r="E108" s="115"/>
      <c r="F108" s="1"/>
      <c r="G108" s="1"/>
      <c r="H108" s="1"/>
    </row>
    <row r="109" spans="1:8" ht="15.75" x14ac:dyDescent="0.25">
      <c r="A109" s="94" t="s">
        <v>68</v>
      </c>
      <c r="B109" s="94"/>
      <c r="C109" s="94"/>
      <c r="D109" s="1"/>
      <c r="E109" s="115" t="s">
        <v>335</v>
      </c>
      <c r="F109" s="1"/>
      <c r="G109" s="1"/>
      <c r="H109" s="1"/>
    </row>
    <row r="110" spans="1:8" ht="15.75" x14ac:dyDescent="0.25">
      <c r="A110" s="94"/>
      <c r="B110" s="94"/>
      <c r="C110" s="94"/>
      <c r="D110" s="132"/>
      <c r="E110" s="159"/>
      <c r="F110" s="1"/>
      <c r="G110" s="1"/>
      <c r="H110" s="1"/>
    </row>
    <row r="111" spans="1:8" ht="15.75" x14ac:dyDescent="0.25">
      <c r="A111" s="94" t="s">
        <v>368</v>
      </c>
      <c r="B111" s="94"/>
      <c r="C111" s="94"/>
      <c r="D111" s="62"/>
      <c r="E111" s="115" t="s">
        <v>369</v>
      </c>
      <c r="F111" s="1"/>
      <c r="G111" s="1"/>
      <c r="H111" s="1"/>
    </row>
    <row r="112" spans="1:8" ht="15.75" x14ac:dyDescent="0.25">
      <c r="A112" s="120"/>
      <c r="B112" s="120"/>
      <c r="C112" s="120"/>
      <c r="D112" s="120"/>
      <c r="E112" s="120"/>
      <c r="F112" s="120"/>
      <c r="G112" s="120"/>
      <c r="H112" s="120"/>
    </row>
  </sheetData>
  <mergeCells count="124">
    <mergeCell ref="A18:B18"/>
    <mergeCell ref="C18:H18"/>
    <mergeCell ref="C94:H94"/>
    <mergeCell ref="B94:B98"/>
    <mergeCell ref="A94:A98"/>
    <mergeCell ref="A15:A17"/>
    <mergeCell ref="B15:B17"/>
    <mergeCell ref="C15:C17"/>
    <mergeCell ref="D15:D16"/>
    <mergeCell ref="F15:G15"/>
    <mergeCell ref="H15:H17"/>
    <mergeCell ref="F16:G16"/>
    <mergeCell ref="F17:G17"/>
    <mergeCell ref="A7:H7"/>
    <mergeCell ref="A8:H8"/>
    <mergeCell ref="A9:H9"/>
    <mergeCell ref="A10:H10"/>
    <mergeCell ref="A13:H13"/>
    <mergeCell ref="A14:B14"/>
    <mergeCell ref="C14:H14"/>
    <mergeCell ref="A22:A24"/>
    <mergeCell ref="B22:B24"/>
    <mergeCell ref="C22:C24"/>
    <mergeCell ref="D22:D23"/>
    <mergeCell ref="F22:G22"/>
    <mergeCell ref="H22:H24"/>
    <mergeCell ref="F23:G23"/>
    <mergeCell ref="F24:G24"/>
    <mergeCell ref="A19:A21"/>
    <mergeCell ref="B19:B21"/>
    <mergeCell ref="C19:C21"/>
    <mergeCell ref="D19:D20"/>
    <mergeCell ref="F19:G19"/>
    <mergeCell ref="H19:H21"/>
    <mergeCell ref="F20:G20"/>
    <mergeCell ref="F21:G21"/>
    <mergeCell ref="C38:C39"/>
    <mergeCell ref="C40:C41"/>
    <mergeCell ref="C42:C43"/>
    <mergeCell ref="C44:C45"/>
    <mergeCell ref="C46:C47"/>
    <mergeCell ref="C48:C49"/>
    <mergeCell ref="A25:A49"/>
    <mergeCell ref="B25:B49"/>
    <mergeCell ref="C25:H25"/>
    <mergeCell ref="C26:C27"/>
    <mergeCell ref="H26:H49"/>
    <mergeCell ref="C28:C29"/>
    <mergeCell ref="C30:C31"/>
    <mergeCell ref="C32:C33"/>
    <mergeCell ref="C34:C35"/>
    <mergeCell ref="C36:C37"/>
    <mergeCell ref="A50:A56"/>
    <mergeCell ref="B50:B56"/>
    <mergeCell ref="C50:H50"/>
    <mergeCell ref="C51:C53"/>
    <mergeCell ref="C54:C56"/>
    <mergeCell ref="A57:A59"/>
    <mergeCell ref="B57:B59"/>
    <mergeCell ref="C57:C59"/>
    <mergeCell ref="D57:D58"/>
    <mergeCell ref="F57:G57"/>
    <mergeCell ref="F62:G62"/>
    <mergeCell ref="H62:H64"/>
    <mergeCell ref="F63:G63"/>
    <mergeCell ref="F64:G64"/>
    <mergeCell ref="F58:G58"/>
    <mergeCell ref="H58:H59"/>
    <mergeCell ref="F59:G59"/>
    <mergeCell ref="A60:H60"/>
    <mergeCell ref="A61:B61"/>
    <mergeCell ref="C61:H61"/>
    <mergeCell ref="A65:A75"/>
    <mergeCell ref="B65:B75"/>
    <mergeCell ref="C65:C75"/>
    <mergeCell ref="D65:D67"/>
    <mergeCell ref="E65:E67"/>
    <mergeCell ref="D68:D70"/>
    <mergeCell ref="E68:E70"/>
    <mergeCell ref="D71:D72"/>
    <mergeCell ref="A62:A64"/>
    <mergeCell ref="B62:B64"/>
    <mergeCell ref="C62:C64"/>
    <mergeCell ref="D62:D63"/>
    <mergeCell ref="A76:B76"/>
    <mergeCell ref="C76:H76"/>
    <mergeCell ref="A77:A82"/>
    <mergeCell ref="B77:B82"/>
    <mergeCell ref="C77:H77"/>
    <mergeCell ref="D78:D80"/>
    <mergeCell ref="E78:E80"/>
    <mergeCell ref="H78:H80"/>
    <mergeCell ref="D81:D82"/>
    <mergeCell ref="E81:E82"/>
    <mergeCell ref="A86:A87"/>
    <mergeCell ref="B86:B87"/>
    <mergeCell ref="C86:H86"/>
    <mergeCell ref="A88:A89"/>
    <mergeCell ref="B88:B89"/>
    <mergeCell ref="C88:H88"/>
    <mergeCell ref="H81:H82"/>
    <mergeCell ref="A83:A85"/>
    <mergeCell ref="B83:B85"/>
    <mergeCell ref="C83:H83"/>
    <mergeCell ref="C84:C85"/>
    <mergeCell ref="D84:D85"/>
    <mergeCell ref="A90:B90"/>
    <mergeCell ref="C90:H90"/>
    <mergeCell ref="A91:A92"/>
    <mergeCell ref="B91:B92"/>
    <mergeCell ref="C91:C92"/>
    <mergeCell ref="D91:D92"/>
    <mergeCell ref="E91:E92"/>
    <mergeCell ref="F91:G92"/>
    <mergeCell ref="H91:H92"/>
    <mergeCell ref="H95:H96"/>
    <mergeCell ref="F97:G97"/>
    <mergeCell ref="A100:B100"/>
    <mergeCell ref="C100:H100"/>
    <mergeCell ref="F93:G93"/>
    <mergeCell ref="C95:C98"/>
    <mergeCell ref="D95:D96"/>
    <mergeCell ref="E95:E96"/>
    <mergeCell ref="F95:G9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zoomScale="80" zoomScaleNormal="80" workbookViewId="0"/>
  </sheetViews>
  <sheetFormatPr defaultRowHeight="15" x14ac:dyDescent="0.25"/>
  <cols>
    <col min="1" max="1" width="6.28515625" customWidth="1"/>
    <col min="2" max="2" width="12" customWidth="1"/>
    <col min="3" max="3" width="49" customWidth="1"/>
    <col min="4" max="4" width="14.5703125" customWidth="1"/>
    <col min="5" max="5" width="18.42578125" customWidth="1"/>
    <col min="6" max="7" width="15.7109375" customWidth="1"/>
    <col min="8" max="8" width="62.85546875" customWidth="1"/>
  </cols>
  <sheetData>
    <row r="1" spans="1:8" ht="15.75" x14ac:dyDescent="0.25">
      <c r="A1" s="63"/>
      <c r="B1" s="163"/>
      <c r="C1" s="163"/>
      <c r="D1" s="164"/>
      <c r="E1" s="165"/>
      <c r="F1" s="164"/>
      <c r="G1" s="1"/>
      <c r="H1" s="121" t="s">
        <v>0</v>
      </c>
    </row>
    <row r="2" spans="1:8" ht="15.75" x14ac:dyDescent="0.25">
      <c r="A2" s="63"/>
      <c r="B2" s="163"/>
      <c r="C2" s="163"/>
      <c r="D2" s="164"/>
      <c r="E2" s="165"/>
      <c r="F2" s="164"/>
      <c r="G2" s="1"/>
      <c r="H2" s="122" t="s">
        <v>62</v>
      </c>
    </row>
    <row r="3" spans="1:8" ht="15.75" x14ac:dyDescent="0.25">
      <c r="A3" s="63"/>
      <c r="B3" s="163"/>
      <c r="C3" s="163"/>
      <c r="D3" s="164"/>
      <c r="E3" s="165"/>
      <c r="F3" s="164"/>
      <c r="G3" s="1"/>
      <c r="H3" s="123" t="s">
        <v>1</v>
      </c>
    </row>
    <row r="4" spans="1:8" ht="15.75" customHeight="1" x14ac:dyDescent="0.25">
      <c r="A4" s="63"/>
      <c r="B4" s="163"/>
      <c r="C4" s="163"/>
      <c r="D4" s="164"/>
      <c r="E4" s="165"/>
      <c r="F4" s="164"/>
      <c r="G4" s="1"/>
      <c r="H4" s="150"/>
    </row>
    <row r="5" spans="1:8" ht="15.75" customHeight="1" x14ac:dyDescent="0.25">
      <c r="A5" s="63"/>
      <c r="B5" s="163"/>
      <c r="C5" s="163"/>
      <c r="D5" s="164"/>
      <c r="E5" s="165"/>
      <c r="F5" s="164"/>
      <c r="G5" s="275" t="s">
        <v>79</v>
      </c>
      <c r="H5" s="275"/>
    </row>
    <row r="6" spans="1:8" ht="15.75" customHeight="1" x14ac:dyDescent="0.25">
      <c r="A6" s="63"/>
      <c r="B6" s="163"/>
      <c r="C6" s="163"/>
      <c r="D6" s="164"/>
      <c r="E6" s="165"/>
      <c r="F6" s="164"/>
      <c r="G6" s="1"/>
      <c r="H6" s="69"/>
    </row>
    <row r="7" spans="1:8" ht="15.75" x14ac:dyDescent="0.25">
      <c r="A7" s="270" t="s">
        <v>10</v>
      </c>
      <c r="B7" s="270"/>
      <c r="C7" s="270"/>
      <c r="D7" s="270"/>
      <c r="E7" s="270"/>
      <c r="F7" s="270"/>
      <c r="G7" s="270"/>
      <c r="H7" s="270"/>
    </row>
    <row r="8" spans="1:8" ht="15.75" x14ac:dyDescent="0.25">
      <c r="A8" s="270" t="s">
        <v>521</v>
      </c>
      <c r="B8" s="270"/>
      <c r="C8" s="270"/>
      <c r="D8" s="270"/>
      <c r="E8" s="270"/>
      <c r="F8" s="270"/>
      <c r="G8" s="270"/>
      <c r="H8" s="270"/>
    </row>
    <row r="9" spans="1:8" ht="15.75" customHeight="1" x14ac:dyDescent="0.25">
      <c r="A9" s="270" t="s">
        <v>727</v>
      </c>
      <c r="B9" s="270"/>
      <c r="C9" s="270"/>
      <c r="D9" s="270"/>
      <c r="E9" s="270"/>
      <c r="F9" s="270"/>
      <c r="G9" s="270"/>
      <c r="H9" s="270"/>
    </row>
    <row r="10" spans="1:8" ht="15.75" customHeight="1" x14ac:dyDescent="0.25">
      <c r="A10" s="270" t="s">
        <v>106</v>
      </c>
      <c r="B10" s="270"/>
      <c r="C10" s="270"/>
      <c r="D10" s="270"/>
      <c r="E10" s="270"/>
      <c r="F10" s="270"/>
      <c r="G10" s="270"/>
      <c r="H10" s="270"/>
    </row>
    <row r="11" spans="1:8" ht="15.75" customHeight="1" x14ac:dyDescent="0.25">
      <c r="A11" s="71"/>
      <c r="B11" s="71"/>
      <c r="C11" s="71"/>
      <c r="D11" s="71"/>
      <c r="E11" s="71"/>
      <c r="F11" s="71"/>
      <c r="G11" s="71"/>
      <c r="H11" s="71"/>
    </row>
    <row r="12" spans="1:8" ht="47.25" x14ac:dyDescent="0.25">
      <c r="A12" s="35" t="s">
        <v>4</v>
      </c>
      <c r="B12" s="35" t="s">
        <v>7</v>
      </c>
      <c r="C12" s="35" t="s">
        <v>5</v>
      </c>
      <c r="D12" s="35" t="s">
        <v>6</v>
      </c>
      <c r="E12" s="35" t="s">
        <v>8</v>
      </c>
      <c r="F12" s="35" t="s">
        <v>200</v>
      </c>
      <c r="G12" s="36" t="s">
        <v>201</v>
      </c>
      <c r="H12" s="35" t="s">
        <v>9</v>
      </c>
    </row>
    <row r="13" spans="1:8" ht="15.75" x14ac:dyDescent="0.25">
      <c r="A13" s="262" t="s">
        <v>19</v>
      </c>
      <c r="B13" s="262"/>
      <c r="C13" s="262"/>
      <c r="D13" s="262"/>
      <c r="E13" s="262"/>
      <c r="F13" s="262"/>
      <c r="G13" s="262"/>
      <c r="H13" s="262"/>
    </row>
    <row r="14" spans="1:8" ht="15.75" customHeight="1" x14ac:dyDescent="0.25">
      <c r="A14" s="258" t="s">
        <v>20</v>
      </c>
      <c r="B14" s="258"/>
      <c r="C14" s="262" t="s">
        <v>21</v>
      </c>
      <c r="D14" s="262"/>
      <c r="E14" s="262"/>
      <c r="F14" s="262"/>
      <c r="G14" s="262"/>
      <c r="H14" s="262"/>
    </row>
    <row r="15" spans="1:8" ht="15.75" x14ac:dyDescent="0.25">
      <c r="A15" s="265" t="s">
        <v>15</v>
      </c>
      <c r="B15" s="258" t="s">
        <v>22</v>
      </c>
      <c r="C15" s="269" t="s">
        <v>57</v>
      </c>
      <c r="D15" s="265" t="s">
        <v>11</v>
      </c>
      <c r="E15" s="18" t="s">
        <v>12</v>
      </c>
      <c r="F15" s="265" t="s">
        <v>14</v>
      </c>
      <c r="G15" s="265"/>
      <c r="H15" s="265" t="s">
        <v>53</v>
      </c>
    </row>
    <row r="16" spans="1:8" ht="15.75" x14ac:dyDescent="0.25">
      <c r="A16" s="265"/>
      <c r="B16" s="258"/>
      <c r="C16" s="269"/>
      <c r="D16" s="265"/>
      <c r="E16" s="18" t="s">
        <v>13</v>
      </c>
      <c r="F16" s="265" t="s">
        <v>14</v>
      </c>
      <c r="G16" s="265"/>
      <c r="H16" s="265"/>
    </row>
    <row r="17" spans="1:8" ht="15.75" customHeight="1" x14ac:dyDescent="0.25">
      <c r="A17" s="265"/>
      <c r="B17" s="258"/>
      <c r="C17" s="269"/>
      <c r="D17" s="39" t="s">
        <v>2</v>
      </c>
      <c r="E17" s="40"/>
      <c r="F17" s="265" t="s">
        <v>14</v>
      </c>
      <c r="G17" s="265"/>
      <c r="H17" s="265"/>
    </row>
    <row r="18" spans="1:8" ht="15.75" x14ac:dyDescent="0.25">
      <c r="A18" s="262" t="s">
        <v>108</v>
      </c>
      <c r="B18" s="262"/>
      <c r="C18" s="258" t="s">
        <v>109</v>
      </c>
      <c r="D18" s="258"/>
      <c r="E18" s="258"/>
      <c r="F18" s="258"/>
      <c r="G18" s="258"/>
      <c r="H18" s="258"/>
    </row>
    <row r="19" spans="1:8" ht="15.75" x14ac:dyDescent="0.25">
      <c r="A19" s="265" t="s">
        <v>18</v>
      </c>
      <c r="B19" s="258" t="s">
        <v>23</v>
      </c>
      <c r="C19" s="269" t="s">
        <v>58</v>
      </c>
      <c r="D19" s="265" t="s">
        <v>11</v>
      </c>
      <c r="E19" s="18" t="s">
        <v>12</v>
      </c>
      <c r="F19" s="265" t="s">
        <v>14</v>
      </c>
      <c r="G19" s="265"/>
      <c r="H19" s="265" t="s">
        <v>52</v>
      </c>
    </row>
    <row r="20" spans="1:8" ht="15.75" customHeight="1" x14ac:dyDescent="0.25">
      <c r="A20" s="265"/>
      <c r="B20" s="258"/>
      <c r="C20" s="269"/>
      <c r="D20" s="265"/>
      <c r="E20" s="18" t="s">
        <v>13</v>
      </c>
      <c r="F20" s="265" t="s">
        <v>14</v>
      </c>
      <c r="G20" s="265"/>
      <c r="H20" s="265"/>
    </row>
    <row r="21" spans="1:8" ht="15.75" x14ac:dyDescent="0.25">
      <c r="A21" s="265"/>
      <c r="B21" s="258"/>
      <c r="C21" s="269"/>
      <c r="D21" s="39" t="s">
        <v>2</v>
      </c>
      <c r="E21" s="40"/>
      <c r="F21" s="265" t="s">
        <v>14</v>
      </c>
      <c r="G21" s="265"/>
      <c r="H21" s="265"/>
    </row>
    <row r="22" spans="1:8" ht="15.75" x14ac:dyDescent="0.25">
      <c r="A22" s="265" t="s">
        <v>16</v>
      </c>
      <c r="B22" s="258" t="s">
        <v>24</v>
      </c>
      <c r="C22" s="269" t="s">
        <v>50</v>
      </c>
      <c r="D22" s="265" t="s">
        <v>11</v>
      </c>
      <c r="E22" s="18" t="s">
        <v>12</v>
      </c>
      <c r="F22" s="265" t="s">
        <v>14</v>
      </c>
      <c r="G22" s="265"/>
      <c r="H22" s="265" t="s">
        <v>52</v>
      </c>
    </row>
    <row r="23" spans="1:8" ht="15.75" x14ac:dyDescent="0.25">
      <c r="A23" s="265"/>
      <c r="B23" s="258"/>
      <c r="C23" s="269"/>
      <c r="D23" s="265"/>
      <c r="E23" s="18" t="s">
        <v>13</v>
      </c>
      <c r="F23" s="265" t="s">
        <v>14</v>
      </c>
      <c r="G23" s="265"/>
      <c r="H23" s="265"/>
    </row>
    <row r="24" spans="1:8" ht="15.75" x14ac:dyDescent="0.25">
      <c r="A24" s="265"/>
      <c r="B24" s="258"/>
      <c r="C24" s="269"/>
      <c r="D24" s="39" t="s">
        <v>2</v>
      </c>
      <c r="E24" s="40"/>
      <c r="F24" s="265" t="s">
        <v>14</v>
      </c>
      <c r="G24" s="265"/>
      <c r="H24" s="265"/>
    </row>
    <row r="25" spans="1:8" ht="15.75" x14ac:dyDescent="0.25">
      <c r="A25" s="265" t="s">
        <v>17</v>
      </c>
      <c r="B25" s="258" t="s">
        <v>210</v>
      </c>
      <c r="C25" s="258" t="s">
        <v>25</v>
      </c>
      <c r="D25" s="258"/>
      <c r="E25" s="258"/>
      <c r="F25" s="258"/>
      <c r="G25" s="258"/>
      <c r="H25" s="258"/>
    </row>
    <row r="26" spans="1:8" ht="31.5" x14ac:dyDescent="0.25">
      <c r="A26" s="265"/>
      <c r="B26" s="258"/>
      <c r="C26" s="18" t="s">
        <v>677</v>
      </c>
      <c r="D26" s="18" t="s">
        <v>11</v>
      </c>
      <c r="E26" s="18" t="s">
        <v>282</v>
      </c>
      <c r="F26" s="30">
        <v>12656</v>
      </c>
      <c r="G26" s="30">
        <v>15187.199999999999</v>
      </c>
      <c r="H26" s="269" t="s">
        <v>387</v>
      </c>
    </row>
    <row r="27" spans="1:8" ht="15.75" x14ac:dyDescent="0.25">
      <c r="A27" s="265"/>
      <c r="B27" s="258"/>
      <c r="C27" s="265" t="s">
        <v>455</v>
      </c>
      <c r="D27" s="18" t="s">
        <v>11</v>
      </c>
      <c r="E27" s="18" t="s">
        <v>12</v>
      </c>
      <c r="F27" s="30">
        <v>9125</v>
      </c>
      <c r="G27" s="30">
        <v>10950</v>
      </c>
      <c r="H27" s="269"/>
    </row>
    <row r="28" spans="1:8" ht="15.75" x14ac:dyDescent="0.25">
      <c r="A28" s="265"/>
      <c r="B28" s="258"/>
      <c r="C28" s="265"/>
      <c r="D28" s="18" t="s">
        <v>11</v>
      </c>
      <c r="E28" s="18" t="s">
        <v>13</v>
      </c>
      <c r="F28" s="30">
        <v>14875</v>
      </c>
      <c r="G28" s="30">
        <v>17850</v>
      </c>
      <c r="H28" s="269"/>
    </row>
    <row r="29" spans="1:8" ht="37.5" customHeight="1" x14ac:dyDescent="0.25">
      <c r="A29" s="265"/>
      <c r="B29" s="258"/>
      <c r="C29" s="18" t="s">
        <v>456</v>
      </c>
      <c r="D29" s="18" t="s">
        <v>11</v>
      </c>
      <c r="E29" s="18" t="s">
        <v>282</v>
      </c>
      <c r="F29" s="30">
        <v>15537</v>
      </c>
      <c r="G29" s="30">
        <v>18644.399999999998</v>
      </c>
      <c r="H29" s="269"/>
    </row>
    <row r="30" spans="1:8" ht="15.75" x14ac:dyDescent="0.25">
      <c r="A30" s="265"/>
      <c r="B30" s="258"/>
      <c r="C30" s="265" t="s">
        <v>374</v>
      </c>
      <c r="D30" s="18" t="s">
        <v>11</v>
      </c>
      <c r="E30" s="18" t="s">
        <v>12</v>
      </c>
      <c r="F30" s="30">
        <v>11206</v>
      </c>
      <c r="G30" s="30">
        <v>13447.199999999999</v>
      </c>
      <c r="H30" s="269"/>
    </row>
    <row r="31" spans="1:8" ht="15.75" x14ac:dyDescent="0.25">
      <c r="A31" s="265"/>
      <c r="B31" s="258"/>
      <c r="C31" s="265"/>
      <c r="D31" s="18" t="s">
        <v>11</v>
      </c>
      <c r="E31" s="18" t="s">
        <v>13</v>
      </c>
      <c r="F31" s="30">
        <v>15958</v>
      </c>
      <c r="G31" s="30">
        <v>19149.599999999999</v>
      </c>
      <c r="H31" s="269"/>
    </row>
    <row r="32" spans="1:8" ht="31.5" x14ac:dyDescent="0.25">
      <c r="A32" s="265"/>
      <c r="B32" s="258"/>
      <c r="C32" s="18" t="s">
        <v>678</v>
      </c>
      <c r="D32" s="18" t="s">
        <v>11</v>
      </c>
      <c r="E32" s="18" t="s">
        <v>282</v>
      </c>
      <c r="F32" s="30">
        <v>19624</v>
      </c>
      <c r="G32" s="30">
        <v>23548.799999999999</v>
      </c>
      <c r="H32" s="269"/>
    </row>
    <row r="33" spans="1:8" ht="31.5" x14ac:dyDescent="0.25">
      <c r="A33" s="265"/>
      <c r="B33" s="258"/>
      <c r="C33" s="18" t="s">
        <v>375</v>
      </c>
      <c r="D33" s="18" t="s">
        <v>11</v>
      </c>
      <c r="E33" s="18" t="s">
        <v>282</v>
      </c>
      <c r="F33" s="30">
        <v>22965</v>
      </c>
      <c r="G33" s="30">
        <v>27558</v>
      </c>
      <c r="H33" s="269"/>
    </row>
    <row r="34" spans="1:8" ht="31.5" x14ac:dyDescent="0.25">
      <c r="A34" s="265"/>
      <c r="B34" s="258"/>
      <c r="C34" s="18" t="s">
        <v>679</v>
      </c>
      <c r="D34" s="18" t="s">
        <v>11</v>
      </c>
      <c r="E34" s="18" t="s">
        <v>282</v>
      </c>
      <c r="F34" s="30">
        <v>28072</v>
      </c>
      <c r="G34" s="30">
        <v>33686.400000000001</v>
      </c>
      <c r="H34" s="269"/>
    </row>
    <row r="35" spans="1:8" ht="31.5" x14ac:dyDescent="0.25">
      <c r="A35" s="265"/>
      <c r="B35" s="258"/>
      <c r="C35" s="18" t="s">
        <v>376</v>
      </c>
      <c r="D35" s="18" t="s">
        <v>11</v>
      </c>
      <c r="E35" s="18" t="s">
        <v>282</v>
      </c>
      <c r="F35" s="30">
        <v>37115</v>
      </c>
      <c r="G35" s="30">
        <v>44538</v>
      </c>
      <c r="H35" s="269"/>
    </row>
    <row r="36" spans="1:8" ht="31.5" x14ac:dyDescent="0.25">
      <c r="A36" s="265"/>
      <c r="B36" s="258"/>
      <c r="C36" s="18" t="s">
        <v>680</v>
      </c>
      <c r="D36" s="18" t="s">
        <v>11</v>
      </c>
      <c r="E36" s="18" t="s">
        <v>282</v>
      </c>
      <c r="F36" s="30">
        <v>44265</v>
      </c>
      <c r="G36" s="30">
        <v>53118</v>
      </c>
      <c r="H36" s="269"/>
    </row>
    <row r="37" spans="1:8" ht="31.5" x14ac:dyDescent="0.25">
      <c r="A37" s="265"/>
      <c r="B37" s="258"/>
      <c r="C37" s="18" t="s">
        <v>681</v>
      </c>
      <c r="D37" s="18" t="s">
        <v>11</v>
      </c>
      <c r="E37" s="18" t="s">
        <v>282</v>
      </c>
      <c r="F37" s="30">
        <v>47874</v>
      </c>
      <c r="G37" s="30">
        <v>57448.799999999996</v>
      </c>
      <c r="H37" s="269"/>
    </row>
    <row r="38" spans="1:8" ht="15.75" customHeight="1" x14ac:dyDescent="0.25">
      <c r="A38" s="265"/>
      <c r="B38" s="258"/>
      <c r="C38" s="18" t="s">
        <v>682</v>
      </c>
      <c r="D38" s="18" t="s">
        <v>11</v>
      </c>
      <c r="E38" s="18" t="s">
        <v>282</v>
      </c>
      <c r="F38" s="30">
        <v>48399</v>
      </c>
      <c r="G38" s="30">
        <v>58078.799999999996</v>
      </c>
      <c r="H38" s="269"/>
    </row>
    <row r="39" spans="1:8" ht="31.5" x14ac:dyDescent="0.25">
      <c r="A39" s="265"/>
      <c r="B39" s="258"/>
      <c r="C39" s="18" t="s">
        <v>683</v>
      </c>
      <c r="D39" s="18" t="s">
        <v>11</v>
      </c>
      <c r="E39" s="18" t="s">
        <v>282</v>
      </c>
      <c r="F39" s="30">
        <v>95977</v>
      </c>
      <c r="G39" s="30">
        <v>115172.4</v>
      </c>
      <c r="H39" s="269"/>
    </row>
    <row r="40" spans="1:8" ht="15.75" customHeight="1" x14ac:dyDescent="0.25">
      <c r="A40" s="265"/>
      <c r="B40" s="258"/>
      <c r="C40" s="18" t="s">
        <v>684</v>
      </c>
      <c r="D40" s="18" t="s">
        <v>11</v>
      </c>
      <c r="E40" s="18" t="s">
        <v>282</v>
      </c>
      <c r="F40" s="30">
        <v>117596</v>
      </c>
      <c r="G40" s="30">
        <v>141115.19999999998</v>
      </c>
      <c r="H40" s="269"/>
    </row>
    <row r="41" spans="1:8" ht="31.5" x14ac:dyDescent="0.25">
      <c r="A41" s="265"/>
      <c r="B41" s="258"/>
      <c r="C41" s="18" t="s">
        <v>685</v>
      </c>
      <c r="D41" s="18" t="s">
        <v>11</v>
      </c>
      <c r="E41" s="18" t="s">
        <v>282</v>
      </c>
      <c r="F41" s="30">
        <v>124491</v>
      </c>
      <c r="G41" s="30">
        <v>149389.19999999998</v>
      </c>
      <c r="H41" s="269"/>
    </row>
    <row r="42" spans="1:8" ht="32.25" customHeight="1" x14ac:dyDescent="0.25">
      <c r="A42" s="265" t="s">
        <v>28</v>
      </c>
      <c r="B42" s="258" t="s">
        <v>27</v>
      </c>
      <c r="C42" s="265" t="s">
        <v>29</v>
      </c>
      <c r="D42" s="265" t="s">
        <v>11</v>
      </c>
      <c r="E42" s="18" t="s">
        <v>12</v>
      </c>
      <c r="F42" s="55">
        <v>12450</v>
      </c>
      <c r="G42" s="55">
        <v>14940</v>
      </c>
      <c r="H42" s="269"/>
    </row>
    <row r="43" spans="1:8" ht="32.25" customHeight="1" x14ac:dyDescent="0.25">
      <c r="A43" s="265"/>
      <c r="B43" s="310"/>
      <c r="C43" s="265"/>
      <c r="D43" s="265"/>
      <c r="E43" s="18" t="s">
        <v>13</v>
      </c>
      <c r="F43" s="55">
        <v>16810</v>
      </c>
      <c r="G43" s="55">
        <v>20172</v>
      </c>
      <c r="H43" s="269"/>
    </row>
    <row r="44" spans="1:8" ht="32.25" customHeight="1" x14ac:dyDescent="0.25">
      <c r="A44" s="265"/>
      <c r="B44" s="310"/>
      <c r="C44" s="265" t="s">
        <v>31</v>
      </c>
      <c r="D44" s="265" t="s">
        <v>11</v>
      </c>
      <c r="E44" s="18" t="s">
        <v>12</v>
      </c>
      <c r="F44" s="55">
        <v>8642</v>
      </c>
      <c r="G44" s="55">
        <v>10370.4</v>
      </c>
      <c r="H44" s="269"/>
    </row>
    <row r="45" spans="1:8" ht="32.25" customHeight="1" x14ac:dyDescent="0.25">
      <c r="A45" s="265"/>
      <c r="B45" s="310"/>
      <c r="C45" s="265"/>
      <c r="D45" s="265"/>
      <c r="E45" s="18" t="s">
        <v>13</v>
      </c>
      <c r="F45" s="55">
        <v>10822</v>
      </c>
      <c r="G45" s="55">
        <v>12986.4</v>
      </c>
      <c r="H45" s="269"/>
    </row>
    <row r="46" spans="1:8" ht="15.75" customHeight="1" x14ac:dyDescent="0.25">
      <c r="A46" s="265" t="s">
        <v>32</v>
      </c>
      <c r="B46" s="258" t="s">
        <v>33</v>
      </c>
      <c r="C46" s="265" t="s">
        <v>34</v>
      </c>
      <c r="D46" s="265" t="s">
        <v>11</v>
      </c>
      <c r="E46" s="18" t="s">
        <v>12</v>
      </c>
      <c r="F46" s="265" t="s">
        <v>14</v>
      </c>
      <c r="G46" s="265"/>
      <c r="H46" s="265"/>
    </row>
    <row r="47" spans="1:8" ht="15.75" customHeight="1" x14ac:dyDescent="0.25">
      <c r="A47" s="265"/>
      <c r="B47" s="258"/>
      <c r="C47" s="265"/>
      <c r="D47" s="265"/>
      <c r="E47" s="18" t="s">
        <v>13</v>
      </c>
      <c r="F47" s="265" t="s">
        <v>14</v>
      </c>
      <c r="G47" s="265"/>
      <c r="H47" s="265"/>
    </row>
    <row r="48" spans="1:8" ht="15.75" x14ac:dyDescent="0.25">
      <c r="A48" s="265"/>
      <c r="B48" s="258"/>
      <c r="C48" s="265"/>
      <c r="D48" s="18" t="s">
        <v>2</v>
      </c>
      <c r="E48" s="18" t="s">
        <v>2</v>
      </c>
      <c r="F48" s="265" t="s">
        <v>14</v>
      </c>
      <c r="G48" s="265"/>
      <c r="H48" s="265"/>
    </row>
    <row r="49" spans="1:8" ht="15.75" x14ac:dyDescent="0.25">
      <c r="A49" s="258" t="s">
        <v>35</v>
      </c>
      <c r="B49" s="258"/>
      <c r="C49" s="258"/>
      <c r="D49" s="258"/>
      <c r="E49" s="258"/>
      <c r="F49" s="258"/>
      <c r="G49" s="258"/>
      <c r="H49" s="258"/>
    </row>
    <row r="50" spans="1:8" ht="15.75" customHeight="1" x14ac:dyDescent="0.25">
      <c r="A50" s="258" t="s">
        <v>36</v>
      </c>
      <c r="B50" s="258"/>
      <c r="C50" s="258" t="s">
        <v>37</v>
      </c>
      <c r="D50" s="258"/>
      <c r="E50" s="258"/>
      <c r="F50" s="258"/>
      <c r="G50" s="258"/>
      <c r="H50" s="258"/>
    </row>
    <row r="51" spans="1:8" ht="27.75" customHeight="1" x14ac:dyDescent="0.25">
      <c r="A51" s="257">
        <v>7</v>
      </c>
      <c r="B51" s="258" t="s">
        <v>140</v>
      </c>
      <c r="C51" s="265" t="s">
        <v>38</v>
      </c>
      <c r="D51" s="265" t="s">
        <v>11</v>
      </c>
      <c r="E51" s="18" t="s">
        <v>12</v>
      </c>
      <c r="F51" s="265" t="s">
        <v>14</v>
      </c>
      <c r="G51" s="265"/>
      <c r="H51" s="265" t="s">
        <v>388</v>
      </c>
    </row>
    <row r="52" spans="1:8" ht="27.75" customHeight="1" x14ac:dyDescent="0.25">
      <c r="A52" s="257"/>
      <c r="B52" s="258"/>
      <c r="C52" s="265"/>
      <c r="D52" s="265"/>
      <c r="E52" s="18" t="s">
        <v>13</v>
      </c>
      <c r="F52" s="265" t="s">
        <v>14</v>
      </c>
      <c r="G52" s="265"/>
      <c r="H52" s="265"/>
    </row>
    <row r="53" spans="1:8" ht="27.75" customHeight="1" x14ac:dyDescent="0.25">
      <c r="A53" s="257"/>
      <c r="B53" s="258"/>
      <c r="C53" s="265"/>
      <c r="D53" s="18" t="s">
        <v>2</v>
      </c>
      <c r="E53" s="18" t="s">
        <v>2</v>
      </c>
      <c r="F53" s="265" t="s">
        <v>14</v>
      </c>
      <c r="G53" s="265"/>
      <c r="H53" s="265"/>
    </row>
    <row r="54" spans="1:8" ht="94.5" x14ac:dyDescent="0.25">
      <c r="A54" s="265" t="s">
        <v>39</v>
      </c>
      <c r="B54" s="258" t="s">
        <v>42</v>
      </c>
      <c r="C54" s="265" t="s">
        <v>43</v>
      </c>
      <c r="D54" s="265" t="s">
        <v>40</v>
      </c>
      <c r="E54" s="266" t="s">
        <v>98</v>
      </c>
      <c r="F54" s="55">
        <v>315</v>
      </c>
      <c r="G54" s="55">
        <v>378</v>
      </c>
      <c r="H54" s="2" t="s">
        <v>661</v>
      </c>
    </row>
    <row r="55" spans="1:8" ht="110.25" x14ac:dyDescent="0.25">
      <c r="A55" s="265"/>
      <c r="B55" s="258"/>
      <c r="C55" s="265"/>
      <c r="D55" s="265"/>
      <c r="E55" s="266"/>
      <c r="F55" s="17">
        <v>630</v>
      </c>
      <c r="G55" s="55">
        <v>756</v>
      </c>
      <c r="H55" s="2" t="s">
        <v>660</v>
      </c>
    </row>
    <row r="56" spans="1:8" ht="110.25" x14ac:dyDescent="0.25">
      <c r="A56" s="265"/>
      <c r="B56" s="258"/>
      <c r="C56" s="265"/>
      <c r="D56" s="265"/>
      <c r="E56" s="266"/>
      <c r="F56" s="78">
        <v>1050</v>
      </c>
      <c r="G56" s="55">
        <v>1260</v>
      </c>
      <c r="H56" s="2" t="s">
        <v>659</v>
      </c>
    </row>
    <row r="57" spans="1:8" ht="94.5" x14ac:dyDescent="0.25">
      <c r="A57" s="265"/>
      <c r="B57" s="258"/>
      <c r="C57" s="265"/>
      <c r="D57" s="265" t="s">
        <v>40</v>
      </c>
      <c r="E57" s="266" t="s">
        <v>102</v>
      </c>
      <c r="F57" s="17">
        <v>525</v>
      </c>
      <c r="G57" s="55">
        <v>630</v>
      </c>
      <c r="H57" s="2" t="s">
        <v>661</v>
      </c>
    </row>
    <row r="58" spans="1:8" ht="110.25" x14ac:dyDescent="0.25">
      <c r="A58" s="265"/>
      <c r="B58" s="258"/>
      <c r="C58" s="265"/>
      <c r="D58" s="265"/>
      <c r="E58" s="266"/>
      <c r="F58" s="17">
        <v>787</v>
      </c>
      <c r="G58" s="55">
        <v>944.4</v>
      </c>
      <c r="H58" s="2" t="s">
        <v>660</v>
      </c>
    </row>
    <row r="59" spans="1:8" ht="109.5" customHeight="1" x14ac:dyDescent="0.25">
      <c r="A59" s="265"/>
      <c r="B59" s="258"/>
      <c r="C59" s="265"/>
      <c r="D59" s="265"/>
      <c r="E59" s="266"/>
      <c r="F59" s="17">
        <v>1050</v>
      </c>
      <c r="G59" s="55">
        <v>1260</v>
      </c>
      <c r="H59" s="2" t="s">
        <v>659</v>
      </c>
    </row>
    <row r="60" spans="1:8" ht="97.5" customHeight="1" x14ac:dyDescent="0.25">
      <c r="A60" s="265"/>
      <c r="B60" s="258"/>
      <c r="C60" s="265"/>
      <c r="D60" s="265" t="s">
        <v>377</v>
      </c>
      <c r="E60" s="32" t="s">
        <v>2</v>
      </c>
      <c r="F60" s="31">
        <v>3000</v>
      </c>
      <c r="G60" s="31">
        <v>3600</v>
      </c>
      <c r="H60" s="2" t="s">
        <v>672</v>
      </c>
    </row>
    <row r="61" spans="1:8" ht="98.25" customHeight="1" x14ac:dyDescent="0.25">
      <c r="A61" s="265"/>
      <c r="B61" s="258"/>
      <c r="C61" s="265"/>
      <c r="D61" s="265"/>
      <c r="E61" s="32" t="s">
        <v>2</v>
      </c>
      <c r="F61" s="31">
        <v>4500</v>
      </c>
      <c r="G61" s="31">
        <v>5400</v>
      </c>
      <c r="H61" s="2" t="s">
        <v>61</v>
      </c>
    </row>
    <row r="62" spans="1:8" ht="15.75" customHeight="1" x14ac:dyDescent="0.25">
      <c r="A62" s="258" t="s">
        <v>81</v>
      </c>
      <c r="B62" s="258"/>
      <c r="C62" s="258" t="s">
        <v>82</v>
      </c>
      <c r="D62" s="258"/>
      <c r="E62" s="258"/>
      <c r="F62" s="258"/>
      <c r="G62" s="258"/>
      <c r="H62" s="258"/>
    </row>
    <row r="63" spans="1:8" ht="33.75" customHeight="1" x14ac:dyDescent="0.25">
      <c r="A63" s="269">
        <v>9</v>
      </c>
      <c r="B63" s="262" t="s">
        <v>83</v>
      </c>
      <c r="C63" s="269" t="s">
        <v>378</v>
      </c>
      <c r="D63" s="257" t="s">
        <v>85</v>
      </c>
      <c r="E63" s="32" t="s">
        <v>12</v>
      </c>
      <c r="F63" s="31">
        <v>1904</v>
      </c>
      <c r="G63" s="31">
        <v>2284.7999999999997</v>
      </c>
      <c r="H63" s="269" t="s">
        <v>389</v>
      </c>
    </row>
    <row r="64" spans="1:8" ht="21" customHeight="1" x14ac:dyDescent="0.25">
      <c r="A64" s="269"/>
      <c r="B64" s="262"/>
      <c r="C64" s="269"/>
      <c r="D64" s="257"/>
      <c r="E64" s="32" t="s">
        <v>13</v>
      </c>
      <c r="F64" s="31">
        <v>2994</v>
      </c>
      <c r="G64" s="31">
        <v>3592.7999999999997</v>
      </c>
      <c r="H64" s="269"/>
    </row>
    <row r="65" spans="1:8" ht="15.75" x14ac:dyDescent="0.25">
      <c r="A65" s="269">
        <v>10</v>
      </c>
      <c r="B65" s="258" t="s">
        <v>87</v>
      </c>
      <c r="C65" s="262" t="s">
        <v>88</v>
      </c>
      <c r="D65" s="262"/>
      <c r="E65" s="262"/>
      <c r="F65" s="262"/>
      <c r="G65" s="262"/>
      <c r="H65" s="262"/>
    </row>
    <row r="66" spans="1:8" ht="106.5" customHeight="1" x14ac:dyDescent="0.25">
      <c r="A66" s="269"/>
      <c r="B66" s="258"/>
      <c r="C66" s="261" t="s">
        <v>379</v>
      </c>
      <c r="D66" s="257" t="s">
        <v>89</v>
      </c>
      <c r="E66" s="32" t="s">
        <v>12</v>
      </c>
      <c r="F66" s="32">
        <v>300</v>
      </c>
      <c r="G66" s="32">
        <v>360</v>
      </c>
      <c r="H66" s="260" t="s">
        <v>686</v>
      </c>
    </row>
    <row r="67" spans="1:8" ht="113.25" customHeight="1" x14ac:dyDescent="0.25">
      <c r="A67" s="269"/>
      <c r="B67" s="258"/>
      <c r="C67" s="261"/>
      <c r="D67" s="257"/>
      <c r="E67" s="32" t="s">
        <v>13</v>
      </c>
      <c r="F67" s="32">
        <v>451</v>
      </c>
      <c r="G67" s="32">
        <v>541.19999999999993</v>
      </c>
      <c r="H67" s="260"/>
    </row>
    <row r="68" spans="1:8" ht="15.75" x14ac:dyDescent="0.25">
      <c r="A68" s="269">
        <v>11</v>
      </c>
      <c r="B68" s="258" t="s">
        <v>274</v>
      </c>
      <c r="C68" s="264" t="s">
        <v>275</v>
      </c>
      <c r="D68" s="264"/>
      <c r="E68" s="264"/>
      <c r="F68" s="264"/>
      <c r="G68" s="264"/>
      <c r="H68" s="264"/>
    </row>
    <row r="69" spans="1:8" ht="15.75" x14ac:dyDescent="0.25">
      <c r="A69" s="269"/>
      <c r="B69" s="258"/>
      <c r="C69" s="14" t="s">
        <v>275</v>
      </c>
      <c r="D69" s="14" t="s">
        <v>380</v>
      </c>
      <c r="E69" s="14"/>
      <c r="F69" s="31">
        <v>716</v>
      </c>
      <c r="G69" s="55">
        <v>859.19999999999993</v>
      </c>
      <c r="H69" s="14"/>
    </row>
    <row r="70" spans="1:8" ht="15.75" customHeight="1" x14ac:dyDescent="0.25">
      <c r="A70" s="311">
        <v>12</v>
      </c>
      <c r="B70" s="307" t="s">
        <v>44</v>
      </c>
      <c r="C70" s="279" t="s">
        <v>157</v>
      </c>
      <c r="D70" s="279"/>
      <c r="E70" s="279"/>
      <c r="F70" s="279"/>
      <c r="G70" s="279"/>
      <c r="H70" s="279"/>
    </row>
    <row r="71" spans="1:8" ht="15.75" x14ac:dyDescent="0.25">
      <c r="A71" s="312"/>
      <c r="B71" s="308"/>
      <c r="C71" s="261" t="s">
        <v>158</v>
      </c>
      <c r="D71" s="261" t="s">
        <v>45</v>
      </c>
      <c r="E71" s="259" t="s">
        <v>56</v>
      </c>
      <c r="F71" s="32">
        <v>875</v>
      </c>
      <c r="G71" s="81">
        <v>1050</v>
      </c>
      <c r="H71" s="17" t="s">
        <v>390</v>
      </c>
    </row>
    <row r="72" spans="1:8" ht="15" customHeight="1" x14ac:dyDescent="0.25">
      <c r="A72" s="313"/>
      <c r="B72" s="309"/>
      <c r="C72" s="261"/>
      <c r="D72" s="261"/>
      <c r="E72" s="259"/>
      <c r="F72" s="32">
        <v>824</v>
      </c>
      <c r="G72" s="32">
        <v>988.8</v>
      </c>
      <c r="H72" s="17" t="s">
        <v>391</v>
      </c>
    </row>
    <row r="73" spans="1:8" ht="15" customHeight="1" x14ac:dyDescent="0.25">
      <c r="A73" s="257">
        <v>13</v>
      </c>
      <c r="B73" s="258" t="s">
        <v>162</v>
      </c>
      <c r="C73" s="264" t="s">
        <v>163</v>
      </c>
      <c r="D73" s="264"/>
      <c r="E73" s="264"/>
      <c r="F73" s="264"/>
      <c r="G73" s="264"/>
      <c r="H73" s="264"/>
    </row>
    <row r="74" spans="1:8" ht="57.75" customHeight="1" x14ac:dyDescent="0.25">
      <c r="A74" s="257"/>
      <c r="B74" s="258"/>
      <c r="C74" s="14" t="s">
        <v>163</v>
      </c>
      <c r="D74" s="14" t="s">
        <v>45</v>
      </c>
      <c r="E74" s="17" t="s">
        <v>381</v>
      </c>
      <c r="F74" s="31">
        <v>7101</v>
      </c>
      <c r="G74" s="31">
        <v>8521.1999999999989</v>
      </c>
      <c r="H74" s="2" t="s">
        <v>392</v>
      </c>
    </row>
    <row r="75" spans="1:8" ht="15.75" x14ac:dyDescent="0.25">
      <c r="A75" s="264" t="s">
        <v>46</v>
      </c>
      <c r="B75" s="264"/>
      <c r="C75" s="264" t="s">
        <v>305</v>
      </c>
      <c r="D75" s="264"/>
      <c r="E75" s="264"/>
      <c r="F75" s="264"/>
      <c r="G75" s="264"/>
      <c r="H75" s="264"/>
    </row>
    <row r="76" spans="1:8" ht="46.5" customHeight="1" x14ac:dyDescent="0.25">
      <c r="A76" s="38" t="s">
        <v>382</v>
      </c>
      <c r="B76" s="13" t="s">
        <v>306</v>
      </c>
      <c r="C76" s="2" t="s">
        <v>55</v>
      </c>
      <c r="D76" s="2" t="s">
        <v>11</v>
      </c>
      <c r="E76" s="17" t="s">
        <v>56</v>
      </c>
      <c r="F76" s="259" t="s">
        <v>14</v>
      </c>
      <c r="G76" s="259"/>
      <c r="H76" s="2" t="s">
        <v>95</v>
      </c>
    </row>
    <row r="77" spans="1:8" ht="48.75" customHeight="1" x14ac:dyDescent="0.25">
      <c r="A77" s="257">
        <v>15</v>
      </c>
      <c r="B77" s="258" t="s">
        <v>48</v>
      </c>
      <c r="C77" s="260" t="s">
        <v>383</v>
      </c>
      <c r="D77" s="261" t="s">
        <v>11</v>
      </c>
      <c r="E77" s="259" t="s">
        <v>381</v>
      </c>
      <c r="F77" s="259" t="s">
        <v>14</v>
      </c>
      <c r="G77" s="259"/>
      <c r="H77" s="260"/>
    </row>
    <row r="78" spans="1:8" ht="48.75" customHeight="1" x14ac:dyDescent="0.25">
      <c r="A78" s="257"/>
      <c r="B78" s="258"/>
      <c r="C78" s="260"/>
      <c r="D78" s="261"/>
      <c r="E78" s="259"/>
      <c r="F78" s="259"/>
      <c r="G78" s="259"/>
      <c r="H78" s="260"/>
    </row>
    <row r="79" spans="1:8" ht="15.75" x14ac:dyDescent="0.25">
      <c r="A79" s="257">
        <v>16</v>
      </c>
      <c r="B79" s="258" t="s">
        <v>313</v>
      </c>
      <c r="C79" s="264" t="s">
        <v>186</v>
      </c>
      <c r="D79" s="264"/>
      <c r="E79" s="264"/>
      <c r="F79" s="264"/>
      <c r="G79" s="264"/>
      <c r="H79" s="264"/>
    </row>
    <row r="80" spans="1:8" ht="31.5" x14ac:dyDescent="0.25">
      <c r="A80" s="257"/>
      <c r="B80" s="258"/>
      <c r="C80" s="260" t="s">
        <v>51</v>
      </c>
      <c r="D80" s="2" t="s">
        <v>45</v>
      </c>
      <c r="E80" s="17" t="s">
        <v>393</v>
      </c>
      <c r="F80" s="31">
        <v>212</v>
      </c>
      <c r="G80" s="31">
        <v>254.39999999999998</v>
      </c>
      <c r="H80" s="2" t="s">
        <v>188</v>
      </c>
    </row>
    <row r="81" spans="1:8" ht="47.25" x14ac:dyDescent="0.25">
      <c r="A81" s="257"/>
      <c r="B81" s="258"/>
      <c r="C81" s="260"/>
      <c r="D81" s="2" t="s">
        <v>45</v>
      </c>
      <c r="E81" s="17" t="s">
        <v>394</v>
      </c>
      <c r="F81" s="31">
        <v>2680</v>
      </c>
      <c r="G81" s="31">
        <v>3216</v>
      </c>
      <c r="H81" s="2" t="s">
        <v>395</v>
      </c>
    </row>
    <row r="82" spans="1:8" ht="47.25" x14ac:dyDescent="0.25">
      <c r="A82" s="76">
        <v>17</v>
      </c>
      <c r="B82" s="13" t="s">
        <v>316</v>
      </c>
      <c r="C82" s="2" t="s">
        <v>384</v>
      </c>
      <c r="D82" s="14" t="s">
        <v>3</v>
      </c>
      <c r="E82" s="17" t="s">
        <v>282</v>
      </c>
      <c r="F82" s="55">
        <v>2181.91</v>
      </c>
      <c r="G82" s="55">
        <v>2618.2919999999999</v>
      </c>
      <c r="H82" s="2"/>
    </row>
    <row r="83" spans="1:8" ht="15.75" x14ac:dyDescent="0.25">
      <c r="A83" s="304" t="s">
        <v>190</v>
      </c>
      <c r="B83" s="304"/>
      <c r="C83" s="264" t="s">
        <v>191</v>
      </c>
      <c r="D83" s="264"/>
      <c r="E83" s="264"/>
      <c r="F83" s="264"/>
      <c r="G83" s="264"/>
      <c r="H83" s="264"/>
    </row>
    <row r="84" spans="1:8" ht="65.25" customHeight="1" x14ac:dyDescent="0.25">
      <c r="A84" s="76">
        <v>18</v>
      </c>
      <c r="B84" s="13" t="s">
        <v>192</v>
      </c>
      <c r="C84" s="15" t="s">
        <v>193</v>
      </c>
      <c r="D84" s="39" t="s">
        <v>385</v>
      </c>
      <c r="E84" s="17" t="s">
        <v>282</v>
      </c>
      <c r="F84" s="78">
        <v>1110</v>
      </c>
      <c r="G84" s="55">
        <v>1332</v>
      </c>
      <c r="H84" s="39" t="s">
        <v>195</v>
      </c>
    </row>
    <row r="85" spans="1:8" ht="15.75" x14ac:dyDescent="0.25">
      <c r="A85" s="166"/>
      <c r="B85" s="87"/>
      <c r="C85" s="86"/>
      <c r="D85" s="92"/>
      <c r="E85" s="89"/>
      <c r="F85" s="4"/>
      <c r="G85" s="167"/>
      <c r="H85" s="92"/>
    </row>
    <row r="86" spans="1:8" ht="15.75" x14ac:dyDescent="0.25">
      <c r="A86" s="93" t="s">
        <v>197</v>
      </c>
      <c r="B86" s="87"/>
      <c r="C86" s="86"/>
      <c r="D86" s="92"/>
      <c r="E86" s="89"/>
      <c r="F86" s="4"/>
      <c r="G86" s="167"/>
      <c r="H86" s="92"/>
    </row>
    <row r="87" spans="1:8" ht="15.75" x14ac:dyDescent="0.25">
      <c r="A87" s="166"/>
      <c r="B87" s="87"/>
      <c r="C87" s="86"/>
      <c r="D87" s="92"/>
      <c r="E87" s="89"/>
      <c r="F87" s="4"/>
      <c r="G87" s="167"/>
      <c r="H87" s="92"/>
    </row>
    <row r="88" spans="1:8" ht="15.75" x14ac:dyDescent="0.25">
      <c r="A88" s="306" t="s">
        <v>96</v>
      </c>
      <c r="B88" s="306"/>
      <c r="C88" s="306"/>
      <c r="D88" s="111"/>
      <c r="E88" s="115" t="s">
        <v>333</v>
      </c>
      <c r="F88" s="112"/>
      <c r="G88" s="169"/>
      <c r="H88" s="114"/>
    </row>
    <row r="89" spans="1:8" ht="15.75" x14ac:dyDescent="0.25">
      <c r="A89" s="94"/>
      <c r="B89" s="94"/>
      <c r="C89" s="94"/>
      <c r="D89" s="111"/>
      <c r="E89" s="115"/>
      <c r="F89" s="112"/>
      <c r="G89" s="169"/>
      <c r="H89" s="114"/>
    </row>
    <row r="90" spans="1:8" ht="15.75" x14ac:dyDescent="0.25">
      <c r="A90" s="306" t="s">
        <v>66</v>
      </c>
      <c r="B90" s="306"/>
      <c r="C90" s="306"/>
      <c r="D90" s="111"/>
      <c r="E90" s="115" t="s">
        <v>334</v>
      </c>
      <c r="F90" s="116"/>
      <c r="G90" s="169"/>
      <c r="H90" s="118"/>
    </row>
    <row r="91" spans="1:8" ht="15.75" x14ac:dyDescent="0.25">
      <c r="A91" s="94"/>
      <c r="B91" s="94"/>
      <c r="C91" s="94"/>
      <c r="D91" s="111"/>
      <c r="E91" s="115"/>
      <c r="F91" s="116"/>
      <c r="G91" s="169"/>
      <c r="H91" s="118"/>
    </row>
    <row r="92" spans="1:8" ht="15.75" x14ac:dyDescent="0.25">
      <c r="A92" s="306" t="s">
        <v>68</v>
      </c>
      <c r="B92" s="306"/>
      <c r="C92" s="306"/>
      <c r="D92" s="111"/>
      <c r="E92" s="115" t="s">
        <v>335</v>
      </c>
      <c r="F92" s="59"/>
      <c r="G92" s="169"/>
      <c r="H92" s="61"/>
    </row>
    <row r="93" spans="1:8" ht="15.75" x14ac:dyDescent="0.25">
      <c r="A93" s="94"/>
      <c r="B93" s="94"/>
      <c r="C93" s="94"/>
      <c r="D93" s="170"/>
      <c r="E93" s="170"/>
      <c r="F93" s="170"/>
      <c r="G93" s="169"/>
      <c r="H93" s="172"/>
    </row>
    <row r="94" spans="1:8" ht="15.75" x14ac:dyDescent="0.25">
      <c r="A94" s="306" t="s">
        <v>386</v>
      </c>
      <c r="B94" s="306"/>
      <c r="C94" s="306"/>
      <c r="D94" s="86"/>
      <c r="E94" s="171" t="s">
        <v>396</v>
      </c>
      <c r="F94" s="116"/>
      <c r="G94" s="169"/>
      <c r="H94" s="118"/>
    </row>
  </sheetData>
  <mergeCells count="119">
    <mergeCell ref="A88:C88"/>
    <mergeCell ref="A7:H7"/>
    <mergeCell ref="A8:H8"/>
    <mergeCell ref="A9:H9"/>
    <mergeCell ref="A10:H10"/>
    <mergeCell ref="A13:H13"/>
    <mergeCell ref="A14:B14"/>
    <mergeCell ref="C14:H14"/>
    <mergeCell ref="A75:B75"/>
    <mergeCell ref="C75:H75"/>
    <mergeCell ref="F76:G76"/>
    <mergeCell ref="A77:A78"/>
    <mergeCell ref="A70:A72"/>
    <mergeCell ref="C66:C67"/>
    <mergeCell ref="D66:D67"/>
    <mergeCell ref="A68:A69"/>
    <mergeCell ref="B68:B69"/>
    <mergeCell ref="C68:H68"/>
    <mergeCell ref="A62:B62"/>
    <mergeCell ref="C62:H62"/>
    <mergeCell ref="A63:A64"/>
    <mergeCell ref="B63:B64"/>
    <mergeCell ref="F47:G47"/>
    <mergeCell ref="F48:G48"/>
    <mergeCell ref="H15:H17"/>
    <mergeCell ref="A18:B18"/>
    <mergeCell ref="C18:H18"/>
    <mergeCell ref="A19:A21"/>
    <mergeCell ref="B19:B21"/>
    <mergeCell ref="C19:C21"/>
    <mergeCell ref="D19:D20"/>
    <mergeCell ref="H19:H21"/>
    <mergeCell ref="F20:G20"/>
    <mergeCell ref="F21:G21"/>
    <mergeCell ref="F17:G17"/>
    <mergeCell ref="F19:G19"/>
    <mergeCell ref="A15:A17"/>
    <mergeCell ref="B15:B17"/>
    <mergeCell ref="C15:C17"/>
    <mergeCell ref="F15:G15"/>
    <mergeCell ref="F16:G16"/>
    <mergeCell ref="D15:D16"/>
    <mergeCell ref="C27:C28"/>
    <mergeCell ref="C30:C31"/>
    <mergeCell ref="A42:A45"/>
    <mergeCell ref="B42:B45"/>
    <mergeCell ref="C42:C43"/>
    <mergeCell ref="H42:H45"/>
    <mergeCell ref="C44:C45"/>
    <mergeCell ref="D44:D45"/>
    <mergeCell ref="A22:A24"/>
    <mergeCell ref="B22:B24"/>
    <mergeCell ref="C22:C24"/>
    <mergeCell ref="D22:D23"/>
    <mergeCell ref="F22:G22"/>
    <mergeCell ref="H22:H24"/>
    <mergeCell ref="F23:G23"/>
    <mergeCell ref="F24:G24"/>
    <mergeCell ref="D42:D43"/>
    <mergeCell ref="A25:A41"/>
    <mergeCell ref="B25:B41"/>
    <mergeCell ref="C25:H25"/>
    <mergeCell ref="H26:H41"/>
    <mergeCell ref="H46:H48"/>
    <mergeCell ref="A49:H49"/>
    <mergeCell ref="A50:B50"/>
    <mergeCell ref="C50:H50"/>
    <mergeCell ref="A51:A53"/>
    <mergeCell ref="B51:B53"/>
    <mergeCell ref="C51:C53"/>
    <mergeCell ref="D51:D52"/>
    <mergeCell ref="F51:G51"/>
    <mergeCell ref="H51:H53"/>
    <mergeCell ref="A46:A48"/>
    <mergeCell ref="B46:B48"/>
    <mergeCell ref="C46:C48"/>
    <mergeCell ref="D46:D47"/>
    <mergeCell ref="F46:G46"/>
    <mergeCell ref="C63:C64"/>
    <mergeCell ref="D63:D64"/>
    <mergeCell ref="H63:H64"/>
    <mergeCell ref="A65:A67"/>
    <mergeCell ref="B65:B67"/>
    <mergeCell ref="C65:H65"/>
    <mergeCell ref="H66:H67"/>
    <mergeCell ref="F52:G52"/>
    <mergeCell ref="F53:G53"/>
    <mergeCell ref="A54:A61"/>
    <mergeCell ref="B54:B61"/>
    <mergeCell ref="C54:C61"/>
    <mergeCell ref="D54:D56"/>
    <mergeCell ref="E54:E56"/>
    <mergeCell ref="D57:D59"/>
    <mergeCell ref="E57:E59"/>
    <mergeCell ref="D60:D61"/>
    <mergeCell ref="A90:C90"/>
    <mergeCell ref="A92:C92"/>
    <mergeCell ref="A94:C94"/>
    <mergeCell ref="G5:H5"/>
    <mergeCell ref="A79:A81"/>
    <mergeCell ref="B79:B81"/>
    <mergeCell ref="C79:H79"/>
    <mergeCell ref="C80:C81"/>
    <mergeCell ref="A83:B83"/>
    <mergeCell ref="C83:H83"/>
    <mergeCell ref="B77:B78"/>
    <mergeCell ref="C77:C78"/>
    <mergeCell ref="D77:D78"/>
    <mergeCell ref="E77:E78"/>
    <mergeCell ref="F77:G78"/>
    <mergeCell ref="H77:H78"/>
    <mergeCell ref="B70:B72"/>
    <mergeCell ref="C70:H70"/>
    <mergeCell ref="C71:C72"/>
    <mergeCell ref="D71:D72"/>
    <mergeCell ref="E71:E72"/>
    <mergeCell ref="A73:A74"/>
    <mergeCell ref="B73:B74"/>
    <mergeCell ref="C73:H7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zoomScale="80" zoomScaleNormal="80" workbookViewId="0"/>
  </sheetViews>
  <sheetFormatPr defaultRowHeight="15.75" x14ac:dyDescent="0.25"/>
  <cols>
    <col min="1" max="1" width="5.5703125" style="108" customWidth="1"/>
    <col min="2" max="2" width="11.28515625" style="108" customWidth="1"/>
    <col min="3" max="3" width="49.140625" style="108" customWidth="1"/>
    <col min="4" max="4" width="15.7109375" style="108" customWidth="1"/>
    <col min="5" max="5" width="17.140625" style="108" customWidth="1"/>
    <col min="6" max="7" width="15.7109375" style="108" customWidth="1"/>
    <col min="8" max="8" width="63.5703125" style="108" customWidth="1"/>
    <col min="9" max="16384" width="9.140625" style="108"/>
  </cols>
  <sheetData>
    <row r="1" spans="1:8" x14ac:dyDescent="0.25">
      <c r="A1" s="173"/>
      <c r="B1" s="163"/>
      <c r="C1" s="163"/>
      <c r="D1" s="164"/>
      <c r="E1" s="164"/>
      <c r="F1" s="164"/>
      <c r="G1" s="285" t="s">
        <v>0</v>
      </c>
      <c r="H1" s="285"/>
    </row>
    <row r="2" spans="1:8" x14ac:dyDescent="0.25">
      <c r="A2" s="173"/>
      <c r="B2" s="163"/>
      <c r="C2" s="163"/>
      <c r="D2" s="164"/>
      <c r="E2" s="164"/>
      <c r="F2" s="164"/>
      <c r="G2" s="286" t="s">
        <v>62</v>
      </c>
      <c r="H2" s="286"/>
    </row>
    <row r="3" spans="1:8" x14ac:dyDescent="0.25">
      <c r="A3" s="173"/>
      <c r="B3" s="163"/>
      <c r="C3" s="163"/>
      <c r="D3" s="164"/>
      <c r="E3" s="164"/>
      <c r="F3" s="164"/>
      <c r="G3" s="287" t="s">
        <v>1</v>
      </c>
      <c r="H3" s="287"/>
    </row>
    <row r="4" spans="1:8" x14ac:dyDescent="0.25">
      <c r="A4" s="173"/>
      <c r="B4" s="163"/>
      <c r="C4" s="163"/>
      <c r="D4" s="164"/>
      <c r="E4" s="164"/>
      <c r="F4" s="164"/>
      <c r="G4" s="174"/>
      <c r="H4" s="175"/>
    </row>
    <row r="5" spans="1:8" x14ac:dyDescent="0.25">
      <c r="A5" s="173"/>
      <c r="B5" s="163"/>
      <c r="C5" s="163"/>
      <c r="D5" s="164"/>
      <c r="E5" s="164"/>
      <c r="F5" s="164"/>
      <c r="G5" s="275" t="s">
        <v>666</v>
      </c>
      <c r="H5" s="275"/>
    </row>
    <row r="6" spans="1:8" x14ac:dyDescent="0.25">
      <c r="A6" s="173"/>
      <c r="B6" s="163"/>
      <c r="C6" s="163"/>
      <c r="D6" s="164"/>
      <c r="E6" s="164"/>
      <c r="F6" s="164"/>
      <c r="G6" s="69"/>
      <c r="H6" s="68"/>
    </row>
    <row r="7" spans="1:8" x14ac:dyDescent="0.25">
      <c r="A7" s="399" t="s">
        <v>10</v>
      </c>
      <c r="B7" s="399"/>
      <c r="C7" s="399"/>
      <c r="D7" s="399"/>
      <c r="E7" s="399"/>
      <c r="F7" s="399"/>
      <c r="G7" s="399"/>
      <c r="H7" s="399"/>
    </row>
    <row r="8" spans="1:8" x14ac:dyDescent="0.25">
      <c r="A8" s="284" t="s">
        <v>397</v>
      </c>
      <c r="B8" s="284"/>
      <c r="C8" s="284"/>
      <c r="D8" s="284"/>
      <c r="E8" s="284"/>
      <c r="F8" s="284"/>
      <c r="G8" s="284"/>
      <c r="H8" s="284"/>
    </row>
    <row r="9" spans="1:8" x14ac:dyDescent="0.25">
      <c r="A9" s="284" t="s">
        <v>398</v>
      </c>
      <c r="B9" s="284"/>
      <c r="C9" s="284"/>
      <c r="D9" s="284"/>
      <c r="E9" s="284"/>
      <c r="F9" s="284"/>
      <c r="G9" s="284"/>
      <c r="H9" s="284"/>
    </row>
    <row r="10" spans="1:8" x14ac:dyDescent="0.25">
      <c r="A10" s="270" t="s">
        <v>399</v>
      </c>
      <c r="B10" s="270"/>
      <c r="C10" s="270"/>
      <c r="D10" s="270"/>
      <c r="E10" s="270"/>
      <c r="F10" s="270"/>
      <c r="G10" s="270"/>
      <c r="H10" s="270"/>
    </row>
    <row r="11" spans="1:8" x14ac:dyDescent="0.25">
      <c r="A11" s="70"/>
      <c r="B11" s="70"/>
      <c r="C11" s="70"/>
      <c r="D11" s="70"/>
      <c r="E11" s="70"/>
      <c r="F11" s="70"/>
      <c r="G11" s="70"/>
      <c r="H11" s="70"/>
    </row>
    <row r="12" spans="1:8" ht="47.25" x14ac:dyDescent="0.25">
      <c r="A12" s="176" t="s">
        <v>4</v>
      </c>
      <c r="B12" s="177" t="s">
        <v>7</v>
      </c>
      <c r="C12" s="176" t="s">
        <v>5</v>
      </c>
      <c r="D12" s="176" t="s">
        <v>6</v>
      </c>
      <c r="E12" s="176" t="s">
        <v>8</v>
      </c>
      <c r="F12" s="178" t="s">
        <v>200</v>
      </c>
      <c r="G12" s="179" t="s">
        <v>201</v>
      </c>
      <c r="H12" s="176" t="s">
        <v>9</v>
      </c>
    </row>
    <row r="13" spans="1:8" x14ac:dyDescent="0.25">
      <c r="A13" s="268" t="s">
        <v>20</v>
      </c>
      <c r="B13" s="268"/>
      <c r="C13" s="295" t="s">
        <v>21</v>
      </c>
      <c r="D13" s="295"/>
      <c r="E13" s="295"/>
      <c r="F13" s="295"/>
      <c r="G13" s="295"/>
      <c r="H13" s="295"/>
    </row>
    <row r="14" spans="1:8" ht="38.25" customHeight="1" x14ac:dyDescent="0.25">
      <c r="A14" s="393">
        <v>1</v>
      </c>
      <c r="B14" s="391" t="s">
        <v>22</v>
      </c>
      <c r="C14" s="393" t="s">
        <v>400</v>
      </c>
      <c r="D14" s="96" t="s">
        <v>11</v>
      </c>
      <c r="E14" s="44" t="s">
        <v>12</v>
      </c>
      <c r="F14" s="395" t="s">
        <v>401</v>
      </c>
      <c r="G14" s="396"/>
      <c r="H14" s="393" t="s">
        <v>205</v>
      </c>
    </row>
    <row r="15" spans="1:8" ht="38.25" customHeight="1" x14ac:dyDescent="0.25">
      <c r="A15" s="394"/>
      <c r="B15" s="392"/>
      <c r="C15" s="394"/>
      <c r="D15" s="180" t="s">
        <v>2</v>
      </c>
      <c r="E15" s="44"/>
      <c r="F15" s="395" t="s">
        <v>402</v>
      </c>
      <c r="G15" s="396"/>
      <c r="H15" s="394"/>
    </row>
    <row r="16" spans="1:8" ht="30.75" customHeight="1" x14ac:dyDescent="0.25">
      <c r="A16" s="397">
        <v>2</v>
      </c>
      <c r="B16" s="391" t="s">
        <v>23</v>
      </c>
      <c r="C16" s="393" t="s">
        <v>58</v>
      </c>
      <c r="D16" s="181" t="s">
        <v>11</v>
      </c>
      <c r="E16" s="44" t="s">
        <v>12</v>
      </c>
      <c r="F16" s="395" t="s">
        <v>401</v>
      </c>
      <c r="G16" s="396"/>
      <c r="H16" s="393" t="s">
        <v>52</v>
      </c>
    </row>
    <row r="17" spans="1:8" ht="30.75" customHeight="1" x14ac:dyDescent="0.25">
      <c r="A17" s="398"/>
      <c r="B17" s="392"/>
      <c r="C17" s="394"/>
      <c r="D17" s="182" t="s">
        <v>2</v>
      </c>
      <c r="E17" s="44"/>
      <c r="F17" s="395" t="s">
        <v>401</v>
      </c>
      <c r="G17" s="396"/>
      <c r="H17" s="398"/>
    </row>
    <row r="18" spans="1:8" ht="30.75" customHeight="1" x14ac:dyDescent="0.25">
      <c r="A18" s="389">
        <v>3</v>
      </c>
      <c r="B18" s="391" t="s">
        <v>24</v>
      </c>
      <c r="C18" s="393" t="s">
        <v>208</v>
      </c>
      <c r="D18" s="181" t="s">
        <v>11</v>
      </c>
      <c r="E18" s="44" t="s">
        <v>12</v>
      </c>
      <c r="F18" s="395" t="s">
        <v>401</v>
      </c>
      <c r="G18" s="396"/>
      <c r="H18" s="393" t="s">
        <v>52</v>
      </c>
    </row>
    <row r="19" spans="1:8" ht="30.75" customHeight="1" x14ac:dyDescent="0.25">
      <c r="A19" s="390"/>
      <c r="B19" s="392"/>
      <c r="C19" s="394"/>
      <c r="D19" s="182" t="s">
        <v>2</v>
      </c>
      <c r="E19" s="44"/>
      <c r="F19" s="395" t="s">
        <v>402</v>
      </c>
      <c r="G19" s="396"/>
      <c r="H19" s="394"/>
    </row>
    <row r="20" spans="1:8" x14ac:dyDescent="0.25">
      <c r="A20" s="343">
        <v>4</v>
      </c>
      <c r="B20" s="314" t="s">
        <v>111</v>
      </c>
      <c r="C20" s="346" t="s">
        <v>25</v>
      </c>
      <c r="D20" s="387"/>
      <c r="E20" s="387"/>
      <c r="F20" s="387"/>
      <c r="G20" s="387"/>
      <c r="H20" s="388"/>
    </row>
    <row r="21" spans="1:8" x14ac:dyDescent="0.25">
      <c r="A21" s="344"/>
      <c r="B21" s="376"/>
      <c r="C21" s="22" t="s">
        <v>403</v>
      </c>
      <c r="D21" s="24" t="s">
        <v>11</v>
      </c>
      <c r="E21" s="5" t="s">
        <v>98</v>
      </c>
      <c r="F21" s="81">
        <v>4185</v>
      </c>
      <c r="G21" s="183">
        <f>F21*1.2</f>
        <v>5022</v>
      </c>
      <c r="H21" s="355" t="s">
        <v>404</v>
      </c>
    </row>
    <row r="22" spans="1:8" x14ac:dyDescent="0.25">
      <c r="A22" s="344"/>
      <c r="B22" s="376"/>
      <c r="C22" s="22" t="s">
        <v>405</v>
      </c>
      <c r="D22" s="24" t="s">
        <v>11</v>
      </c>
      <c r="E22" s="5" t="s">
        <v>12</v>
      </c>
      <c r="F22" s="81">
        <v>7291</v>
      </c>
      <c r="G22" s="183">
        <f>F22*1.2</f>
        <v>8749.1999999999989</v>
      </c>
      <c r="H22" s="376"/>
    </row>
    <row r="23" spans="1:8" x14ac:dyDescent="0.25">
      <c r="A23" s="344"/>
      <c r="B23" s="376"/>
      <c r="C23" s="22" t="s">
        <v>406</v>
      </c>
      <c r="D23" s="24" t="s">
        <v>11</v>
      </c>
      <c r="E23" s="5" t="s">
        <v>98</v>
      </c>
      <c r="F23" s="81">
        <v>8806</v>
      </c>
      <c r="G23" s="183">
        <f t="shared" ref="G23:G33" si="0">F23*1.2</f>
        <v>10567.199999999999</v>
      </c>
      <c r="H23" s="376"/>
    </row>
    <row r="24" spans="1:8" x14ac:dyDescent="0.25">
      <c r="A24" s="344"/>
      <c r="B24" s="376"/>
      <c r="C24" s="184" t="s">
        <v>407</v>
      </c>
      <c r="D24" s="24" t="s">
        <v>11</v>
      </c>
      <c r="E24" s="5" t="s">
        <v>12</v>
      </c>
      <c r="F24" s="81">
        <v>13329</v>
      </c>
      <c r="G24" s="183">
        <f t="shared" si="0"/>
        <v>15994.8</v>
      </c>
      <c r="H24" s="376"/>
    </row>
    <row r="25" spans="1:8" x14ac:dyDescent="0.25">
      <c r="A25" s="344"/>
      <c r="B25" s="376"/>
      <c r="C25" s="22" t="s">
        <v>408</v>
      </c>
      <c r="D25" s="24" t="s">
        <v>11</v>
      </c>
      <c r="E25" s="5" t="s">
        <v>12</v>
      </c>
      <c r="F25" s="81">
        <v>14676</v>
      </c>
      <c r="G25" s="183">
        <f t="shared" si="0"/>
        <v>17611.2</v>
      </c>
      <c r="H25" s="376"/>
    </row>
    <row r="26" spans="1:8" x14ac:dyDescent="0.25">
      <c r="A26" s="344"/>
      <c r="B26" s="376"/>
      <c r="C26" s="22" t="s">
        <v>409</v>
      </c>
      <c r="D26" s="24" t="s">
        <v>11</v>
      </c>
      <c r="E26" s="5" t="s">
        <v>12</v>
      </c>
      <c r="F26" s="81">
        <v>17711</v>
      </c>
      <c r="G26" s="183">
        <f t="shared" si="0"/>
        <v>21253.200000000001</v>
      </c>
      <c r="H26" s="376"/>
    </row>
    <row r="27" spans="1:8" x14ac:dyDescent="0.25">
      <c r="A27" s="344"/>
      <c r="B27" s="376"/>
      <c r="C27" s="22" t="s">
        <v>410</v>
      </c>
      <c r="D27" s="24" t="s">
        <v>11</v>
      </c>
      <c r="E27" s="5" t="s">
        <v>12</v>
      </c>
      <c r="F27" s="81">
        <v>20591</v>
      </c>
      <c r="G27" s="183">
        <f t="shared" si="0"/>
        <v>24709.200000000001</v>
      </c>
      <c r="H27" s="376"/>
    </row>
    <row r="28" spans="1:8" x14ac:dyDescent="0.25">
      <c r="A28" s="344"/>
      <c r="B28" s="376"/>
      <c r="C28" s="22" t="s">
        <v>411</v>
      </c>
      <c r="D28" s="24" t="s">
        <v>11</v>
      </c>
      <c r="E28" s="5" t="s">
        <v>98</v>
      </c>
      <c r="F28" s="81">
        <v>23306</v>
      </c>
      <c r="G28" s="183">
        <f t="shared" si="0"/>
        <v>27967.200000000001</v>
      </c>
      <c r="H28" s="376"/>
    </row>
    <row r="29" spans="1:8" x14ac:dyDescent="0.25">
      <c r="A29" s="344"/>
      <c r="B29" s="376"/>
      <c r="C29" s="22" t="s">
        <v>412</v>
      </c>
      <c r="D29" s="24" t="s">
        <v>11</v>
      </c>
      <c r="E29" s="5" t="s">
        <v>12</v>
      </c>
      <c r="F29" s="81">
        <v>27029</v>
      </c>
      <c r="G29" s="183">
        <f t="shared" si="0"/>
        <v>32434.799999999999</v>
      </c>
      <c r="H29" s="376"/>
    </row>
    <row r="30" spans="1:8" x14ac:dyDescent="0.25">
      <c r="A30" s="344"/>
      <c r="B30" s="376"/>
      <c r="C30" s="22" t="s">
        <v>413</v>
      </c>
      <c r="D30" s="24" t="s">
        <v>11</v>
      </c>
      <c r="E30" s="5" t="s">
        <v>12</v>
      </c>
      <c r="F30" s="81">
        <v>32086</v>
      </c>
      <c r="G30" s="183">
        <f t="shared" si="0"/>
        <v>38503.199999999997</v>
      </c>
      <c r="H30" s="376"/>
    </row>
    <row r="31" spans="1:8" x14ac:dyDescent="0.25">
      <c r="A31" s="344"/>
      <c r="B31" s="376"/>
      <c r="C31" s="22" t="s">
        <v>414</v>
      </c>
      <c r="D31" s="24" t="s">
        <v>11</v>
      </c>
      <c r="E31" s="5" t="s">
        <v>12</v>
      </c>
      <c r="F31" s="81">
        <v>36014</v>
      </c>
      <c r="G31" s="183">
        <f t="shared" si="0"/>
        <v>43216.799999999996</v>
      </c>
      <c r="H31" s="376"/>
    </row>
    <row r="32" spans="1:8" x14ac:dyDescent="0.25">
      <c r="A32" s="344"/>
      <c r="B32" s="376"/>
      <c r="C32" s="22" t="s">
        <v>415</v>
      </c>
      <c r="D32" s="24" t="s">
        <v>11</v>
      </c>
      <c r="E32" s="5" t="s">
        <v>98</v>
      </c>
      <c r="F32" s="81">
        <v>40775</v>
      </c>
      <c r="G32" s="183">
        <f t="shared" si="0"/>
        <v>48930</v>
      </c>
      <c r="H32" s="376"/>
    </row>
    <row r="33" spans="1:8" x14ac:dyDescent="0.25">
      <c r="A33" s="345"/>
      <c r="B33" s="381"/>
      <c r="C33" s="6" t="s">
        <v>416</v>
      </c>
      <c r="D33" s="185" t="s">
        <v>11</v>
      </c>
      <c r="E33" s="5" t="s">
        <v>98</v>
      </c>
      <c r="F33" s="81">
        <v>44605</v>
      </c>
      <c r="G33" s="183">
        <f t="shared" si="0"/>
        <v>53526</v>
      </c>
      <c r="H33" s="381"/>
    </row>
    <row r="34" spans="1:8" x14ac:dyDescent="0.25">
      <c r="A34" s="343">
        <v>5</v>
      </c>
      <c r="B34" s="314" t="s">
        <v>243</v>
      </c>
      <c r="C34" s="291" t="s">
        <v>244</v>
      </c>
      <c r="D34" s="291"/>
      <c r="E34" s="291"/>
      <c r="F34" s="291"/>
      <c r="G34" s="291"/>
      <c r="H34" s="291"/>
    </row>
    <row r="35" spans="1:8" ht="47.25" x14ac:dyDescent="0.25">
      <c r="A35" s="344"/>
      <c r="B35" s="315"/>
      <c r="C35" s="23" t="s">
        <v>417</v>
      </c>
      <c r="D35" s="186" t="s">
        <v>11</v>
      </c>
      <c r="E35" s="29" t="s">
        <v>98</v>
      </c>
      <c r="F35" s="187">
        <v>11956</v>
      </c>
      <c r="G35" s="188">
        <f>F35*1.2</f>
        <v>14347.199999999999</v>
      </c>
      <c r="H35" s="186" t="s">
        <v>30</v>
      </c>
    </row>
    <row r="36" spans="1:8" ht="47.25" x14ac:dyDescent="0.25">
      <c r="A36" s="345"/>
      <c r="B36" s="316"/>
      <c r="C36" s="6" t="s">
        <v>418</v>
      </c>
      <c r="D36" s="25" t="s">
        <v>11</v>
      </c>
      <c r="E36" s="5" t="s">
        <v>12</v>
      </c>
      <c r="F36" s="78">
        <v>9202</v>
      </c>
      <c r="G36" s="183">
        <f>F36*1.2</f>
        <v>11042.4</v>
      </c>
      <c r="H36" s="25" t="s">
        <v>30</v>
      </c>
    </row>
    <row r="37" spans="1:8" x14ac:dyDescent="0.25">
      <c r="A37" s="348" t="s">
        <v>35</v>
      </c>
      <c r="B37" s="384"/>
      <c r="C37" s="384"/>
      <c r="D37" s="384"/>
      <c r="E37" s="384"/>
      <c r="F37" s="384"/>
      <c r="G37" s="384"/>
      <c r="H37" s="385"/>
    </row>
    <row r="38" spans="1:8" x14ac:dyDescent="0.25">
      <c r="A38" s="373" t="s">
        <v>36</v>
      </c>
      <c r="B38" s="375"/>
      <c r="C38" s="373" t="s">
        <v>37</v>
      </c>
      <c r="D38" s="374"/>
      <c r="E38" s="374"/>
      <c r="F38" s="374"/>
      <c r="G38" s="374"/>
      <c r="H38" s="375"/>
    </row>
    <row r="39" spans="1:8" x14ac:dyDescent="0.25">
      <c r="A39" s="423">
        <v>6</v>
      </c>
      <c r="B39" s="314" t="s">
        <v>140</v>
      </c>
      <c r="C39" s="380" t="s">
        <v>38</v>
      </c>
      <c r="D39" s="25" t="s">
        <v>2</v>
      </c>
      <c r="E39" s="5"/>
      <c r="F39" s="386" t="s">
        <v>401</v>
      </c>
      <c r="G39" s="386"/>
      <c r="H39" s="355"/>
    </row>
    <row r="40" spans="1:8" x14ac:dyDescent="0.25">
      <c r="A40" s="512"/>
      <c r="B40" s="376"/>
      <c r="C40" s="376"/>
      <c r="D40" s="25" t="s">
        <v>11</v>
      </c>
      <c r="E40" s="5" t="s">
        <v>12</v>
      </c>
      <c r="F40" s="386" t="s">
        <v>401</v>
      </c>
      <c r="G40" s="386"/>
      <c r="H40" s="368"/>
    </row>
    <row r="41" spans="1:8" ht="107.25" customHeight="1" x14ac:dyDescent="0.25">
      <c r="A41" s="368">
        <v>7</v>
      </c>
      <c r="B41" s="314" t="s">
        <v>42</v>
      </c>
      <c r="C41" s="355" t="s">
        <v>419</v>
      </c>
      <c r="D41" s="355" t="s">
        <v>255</v>
      </c>
      <c r="E41" s="377" t="s">
        <v>98</v>
      </c>
      <c r="F41" s="9">
        <v>315</v>
      </c>
      <c r="G41" s="189">
        <f>F41*1.2</f>
        <v>378</v>
      </c>
      <c r="H41" s="6" t="s">
        <v>99</v>
      </c>
    </row>
    <row r="42" spans="1:8" ht="115.5" customHeight="1" x14ac:dyDescent="0.25">
      <c r="A42" s="368"/>
      <c r="B42" s="315"/>
      <c r="C42" s="368"/>
      <c r="D42" s="368"/>
      <c r="E42" s="378"/>
      <c r="F42" s="9">
        <v>630</v>
      </c>
      <c r="G42" s="189">
        <f>F42*1.2</f>
        <v>756</v>
      </c>
      <c r="H42" s="6" t="s">
        <v>100</v>
      </c>
    </row>
    <row r="43" spans="1:8" ht="118.5" customHeight="1" x14ac:dyDescent="0.25">
      <c r="A43" s="368"/>
      <c r="B43" s="315"/>
      <c r="C43" s="368"/>
      <c r="D43" s="356"/>
      <c r="E43" s="379"/>
      <c r="F43" s="190">
        <v>1050</v>
      </c>
      <c r="G43" s="183">
        <f t="shared" ref="G43:G48" si="1">F43*1.2</f>
        <v>1260</v>
      </c>
      <c r="H43" s="6" t="s">
        <v>101</v>
      </c>
    </row>
    <row r="44" spans="1:8" ht="104.25" customHeight="1" x14ac:dyDescent="0.25">
      <c r="A44" s="368"/>
      <c r="B44" s="315"/>
      <c r="C44" s="368"/>
      <c r="D44" s="355" t="s">
        <v>255</v>
      </c>
      <c r="E44" s="380" t="s">
        <v>259</v>
      </c>
      <c r="F44" s="190">
        <v>525</v>
      </c>
      <c r="G44" s="183">
        <f t="shared" si="1"/>
        <v>630</v>
      </c>
      <c r="H44" s="6" t="s">
        <v>99</v>
      </c>
    </row>
    <row r="45" spans="1:8" ht="114.75" customHeight="1" x14ac:dyDescent="0.25">
      <c r="A45" s="368"/>
      <c r="B45" s="315"/>
      <c r="C45" s="368"/>
      <c r="D45" s="368"/>
      <c r="E45" s="376"/>
      <c r="F45" s="190">
        <v>787</v>
      </c>
      <c r="G45" s="183">
        <f t="shared" si="1"/>
        <v>944.4</v>
      </c>
      <c r="H45" s="6" t="s">
        <v>100</v>
      </c>
    </row>
    <row r="46" spans="1:8" ht="117" customHeight="1" x14ac:dyDescent="0.25">
      <c r="A46" s="368"/>
      <c r="B46" s="315"/>
      <c r="C46" s="368"/>
      <c r="D46" s="356"/>
      <c r="E46" s="381"/>
      <c r="F46" s="190">
        <v>1050</v>
      </c>
      <c r="G46" s="183">
        <f t="shared" si="1"/>
        <v>1260</v>
      </c>
      <c r="H46" s="6" t="s">
        <v>101</v>
      </c>
    </row>
    <row r="47" spans="1:8" ht="114.75" customHeight="1" x14ac:dyDescent="0.25">
      <c r="A47" s="368"/>
      <c r="B47" s="315"/>
      <c r="C47" s="368"/>
      <c r="D47" s="22" t="s">
        <v>420</v>
      </c>
      <c r="E47" s="6" t="s">
        <v>2</v>
      </c>
      <c r="F47" s="81">
        <v>3000</v>
      </c>
      <c r="G47" s="183">
        <f t="shared" si="1"/>
        <v>3600</v>
      </c>
      <c r="H47" s="6" t="s">
        <v>80</v>
      </c>
    </row>
    <row r="48" spans="1:8" ht="104.25" customHeight="1" x14ac:dyDescent="0.25">
      <c r="A48" s="368"/>
      <c r="B48" s="315"/>
      <c r="C48" s="368"/>
      <c r="D48" s="22" t="s">
        <v>420</v>
      </c>
      <c r="E48" s="6" t="s">
        <v>2</v>
      </c>
      <c r="F48" s="81">
        <v>4500</v>
      </c>
      <c r="G48" s="183">
        <f t="shared" si="1"/>
        <v>5400</v>
      </c>
      <c r="H48" s="6" t="s">
        <v>421</v>
      </c>
    </row>
    <row r="49" spans="1:8" ht="88.5" customHeight="1" x14ac:dyDescent="0.25">
      <c r="A49" s="356"/>
      <c r="B49" s="316"/>
      <c r="C49" s="356"/>
      <c r="D49" s="22" t="s">
        <v>255</v>
      </c>
      <c r="E49" s="5" t="s">
        <v>12</v>
      </c>
      <c r="F49" s="382" t="s">
        <v>14</v>
      </c>
      <c r="G49" s="383"/>
      <c r="H49" s="6" t="s">
        <v>422</v>
      </c>
    </row>
    <row r="50" spans="1:8" x14ac:dyDescent="0.25">
      <c r="A50" s="362" t="s">
        <v>81</v>
      </c>
      <c r="B50" s="363"/>
      <c r="C50" s="362" t="s">
        <v>82</v>
      </c>
      <c r="D50" s="364"/>
      <c r="E50" s="364"/>
      <c r="F50" s="364"/>
      <c r="G50" s="364"/>
      <c r="H50" s="363"/>
    </row>
    <row r="51" spans="1:8" x14ac:dyDescent="0.25">
      <c r="A51" s="365">
        <v>8</v>
      </c>
      <c r="B51" s="528" t="s">
        <v>83</v>
      </c>
      <c r="C51" s="362" t="s">
        <v>84</v>
      </c>
      <c r="D51" s="364"/>
      <c r="E51" s="364"/>
      <c r="F51" s="364"/>
      <c r="G51" s="364"/>
      <c r="H51" s="363"/>
    </row>
    <row r="52" spans="1:8" ht="78.75" x14ac:dyDescent="0.25">
      <c r="A52" s="366"/>
      <c r="B52" s="529"/>
      <c r="C52" s="39" t="s">
        <v>423</v>
      </c>
      <c r="D52" s="15" t="s">
        <v>85</v>
      </c>
      <c r="E52" s="32" t="s">
        <v>12</v>
      </c>
      <c r="F52" s="81">
        <v>4601</v>
      </c>
      <c r="G52" s="81">
        <f>F52*1.2</f>
        <v>5521.2</v>
      </c>
      <c r="H52" s="45" t="s">
        <v>424</v>
      </c>
    </row>
    <row r="53" spans="1:8" ht="78.75" x14ac:dyDescent="0.25">
      <c r="A53" s="367"/>
      <c r="B53" s="530"/>
      <c r="C53" s="39" t="s">
        <v>425</v>
      </c>
      <c r="D53" s="15" t="s">
        <v>85</v>
      </c>
      <c r="E53" s="32" t="s">
        <v>12</v>
      </c>
      <c r="F53" s="81">
        <v>1377</v>
      </c>
      <c r="G53" s="81">
        <f>F53*1.2</f>
        <v>1652.3999999999999</v>
      </c>
      <c r="H53" s="2"/>
    </row>
    <row r="54" spans="1:8" x14ac:dyDescent="0.25">
      <c r="A54" s="355">
        <v>9</v>
      </c>
      <c r="B54" s="314" t="s">
        <v>87</v>
      </c>
      <c r="C54" s="369" t="s">
        <v>88</v>
      </c>
      <c r="D54" s="370"/>
      <c r="E54" s="370"/>
      <c r="F54" s="370"/>
      <c r="G54" s="370"/>
      <c r="H54" s="371"/>
    </row>
    <row r="55" spans="1:8" ht="49.5" customHeight="1" x14ac:dyDescent="0.25">
      <c r="A55" s="368"/>
      <c r="B55" s="315"/>
      <c r="C55" s="360" t="s">
        <v>426</v>
      </c>
      <c r="D55" s="2" t="s">
        <v>89</v>
      </c>
      <c r="E55" s="32" t="s">
        <v>98</v>
      </c>
      <c r="F55" s="81">
        <v>494</v>
      </c>
      <c r="G55" s="81">
        <f t="shared" ref="G55:G62" si="2">F55*1.2</f>
        <v>592.79999999999995</v>
      </c>
      <c r="H55" s="372" t="s">
        <v>427</v>
      </c>
    </row>
    <row r="56" spans="1:8" ht="52.5" customHeight="1" x14ac:dyDescent="0.25">
      <c r="A56" s="368"/>
      <c r="B56" s="315"/>
      <c r="C56" s="330"/>
      <c r="D56" s="2" t="s">
        <v>428</v>
      </c>
      <c r="E56" s="104" t="s">
        <v>2</v>
      </c>
      <c r="F56" s="81">
        <v>23</v>
      </c>
      <c r="G56" s="78">
        <f t="shared" si="2"/>
        <v>27.599999999999998</v>
      </c>
      <c r="H56" s="312"/>
    </row>
    <row r="57" spans="1:8" ht="62.25" customHeight="1" x14ac:dyDescent="0.25">
      <c r="A57" s="368"/>
      <c r="B57" s="316"/>
      <c r="C57" s="14" t="s">
        <v>448</v>
      </c>
      <c r="D57" s="2" t="s">
        <v>89</v>
      </c>
      <c r="E57" s="32" t="s">
        <v>12</v>
      </c>
      <c r="F57" s="81">
        <v>188</v>
      </c>
      <c r="G57" s="81">
        <f t="shared" si="2"/>
        <v>225.6</v>
      </c>
      <c r="H57" s="312"/>
    </row>
    <row r="58" spans="1:8" x14ac:dyDescent="0.25">
      <c r="A58" s="355">
        <v>10</v>
      </c>
      <c r="B58" s="314" t="s">
        <v>274</v>
      </c>
      <c r="C58" s="357" t="s">
        <v>275</v>
      </c>
      <c r="D58" s="357"/>
      <c r="E58" s="358"/>
      <c r="F58" s="357"/>
      <c r="G58" s="357"/>
      <c r="H58" s="359"/>
    </row>
    <row r="59" spans="1:8" ht="31.5" x14ac:dyDescent="0.25">
      <c r="A59" s="356"/>
      <c r="B59" s="316"/>
      <c r="C59" s="84" t="s">
        <v>275</v>
      </c>
      <c r="D59" s="46" t="s">
        <v>429</v>
      </c>
      <c r="E59" s="32" t="s">
        <v>430</v>
      </c>
      <c r="F59" s="81">
        <v>640</v>
      </c>
      <c r="G59" s="78">
        <f t="shared" si="2"/>
        <v>768</v>
      </c>
      <c r="H59" s="78" t="s">
        <v>431</v>
      </c>
    </row>
    <row r="60" spans="1:8" x14ac:dyDescent="0.25">
      <c r="A60" s="343">
        <v>11</v>
      </c>
      <c r="B60" s="314" t="s">
        <v>44</v>
      </c>
      <c r="C60" s="279" t="s">
        <v>157</v>
      </c>
      <c r="D60" s="279"/>
      <c r="E60" s="279"/>
      <c r="F60" s="279"/>
      <c r="G60" s="279"/>
      <c r="H60" s="279"/>
    </row>
    <row r="61" spans="1:8" x14ac:dyDescent="0.25">
      <c r="A61" s="344"/>
      <c r="B61" s="315"/>
      <c r="C61" s="360" t="s">
        <v>158</v>
      </c>
      <c r="D61" s="360" t="s">
        <v>45</v>
      </c>
      <c r="E61" s="32" t="s">
        <v>12</v>
      </c>
      <c r="F61" s="81">
        <v>962</v>
      </c>
      <c r="G61" s="78">
        <f t="shared" si="2"/>
        <v>1154.3999999999999</v>
      </c>
      <c r="H61" s="2" t="s">
        <v>432</v>
      </c>
    </row>
    <row r="62" spans="1:8" x14ac:dyDescent="0.25">
      <c r="A62" s="345"/>
      <c r="B62" s="316"/>
      <c r="C62" s="330"/>
      <c r="D62" s="361"/>
      <c r="E62" s="32" t="s">
        <v>12</v>
      </c>
      <c r="F62" s="81">
        <v>767</v>
      </c>
      <c r="G62" s="78">
        <f t="shared" si="2"/>
        <v>920.4</v>
      </c>
      <c r="H62" s="2" t="s">
        <v>391</v>
      </c>
    </row>
    <row r="63" spans="1:8" x14ac:dyDescent="0.25">
      <c r="A63" s="343">
        <v>12</v>
      </c>
      <c r="B63" s="346" t="s">
        <v>162</v>
      </c>
      <c r="C63" s="349" t="s">
        <v>163</v>
      </c>
      <c r="D63" s="350"/>
      <c r="E63" s="350"/>
      <c r="F63" s="350"/>
      <c r="G63" s="350"/>
      <c r="H63" s="351"/>
    </row>
    <row r="64" spans="1:8" ht="31.5" x14ac:dyDescent="0.25">
      <c r="A64" s="344"/>
      <c r="B64" s="347"/>
      <c r="C64" s="261" t="s">
        <v>163</v>
      </c>
      <c r="D64" s="14" t="s">
        <v>45</v>
      </c>
      <c r="E64" s="32" t="s">
        <v>12</v>
      </c>
      <c r="F64" s="81">
        <v>7518</v>
      </c>
      <c r="G64" s="81">
        <f>F64*1.2</f>
        <v>9021.6</v>
      </c>
      <c r="H64" s="2" t="s">
        <v>433</v>
      </c>
    </row>
    <row r="65" spans="1:8" ht="105.75" customHeight="1" x14ac:dyDescent="0.25">
      <c r="A65" s="345"/>
      <c r="B65" s="348"/>
      <c r="C65" s="260"/>
      <c r="D65" s="15" t="s">
        <v>11</v>
      </c>
      <c r="E65" s="32" t="s">
        <v>98</v>
      </c>
      <c r="F65" s="81">
        <v>1769</v>
      </c>
      <c r="G65" s="81">
        <f>F65*1.2</f>
        <v>2122.7999999999997</v>
      </c>
      <c r="H65" s="2" t="s">
        <v>434</v>
      </c>
    </row>
    <row r="66" spans="1:8" x14ac:dyDescent="0.25">
      <c r="A66" s="343">
        <v>13</v>
      </c>
      <c r="B66" s="346" t="s">
        <v>175</v>
      </c>
      <c r="C66" s="349" t="s">
        <v>94</v>
      </c>
      <c r="D66" s="350"/>
      <c r="E66" s="350"/>
      <c r="F66" s="350"/>
      <c r="G66" s="350"/>
      <c r="H66" s="351"/>
    </row>
    <row r="67" spans="1:8" ht="47.25" x14ac:dyDescent="0.25">
      <c r="A67" s="344"/>
      <c r="B67" s="347"/>
      <c r="C67" s="352" t="s">
        <v>94</v>
      </c>
      <c r="D67" s="101" t="s">
        <v>11</v>
      </c>
      <c r="E67" s="104" t="s">
        <v>98</v>
      </c>
      <c r="F67" s="191">
        <v>3997</v>
      </c>
      <c r="G67" s="192">
        <f>F67*1.2</f>
        <v>4796.3999999999996</v>
      </c>
      <c r="H67" s="98" t="s">
        <v>176</v>
      </c>
    </row>
    <row r="68" spans="1:8" ht="101.25" customHeight="1" x14ac:dyDescent="0.25">
      <c r="A68" s="344"/>
      <c r="B68" s="347"/>
      <c r="C68" s="352"/>
      <c r="D68" s="2" t="s">
        <v>3</v>
      </c>
      <c r="E68" s="2"/>
      <c r="F68" s="353" t="s">
        <v>92</v>
      </c>
      <c r="G68" s="354"/>
      <c r="H68" s="2" t="s">
        <v>93</v>
      </c>
    </row>
    <row r="69" spans="1:8" ht="60.75" customHeight="1" x14ac:dyDescent="0.25">
      <c r="A69" s="345"/>
      <c r="B69" s="348"/>
      <c r="C69" s="330"/>
      <c r="D69" s="45" t="s">
        <v>435</v>
      </c>
      <c r="E69" s="32" t="s">
        <v>12</v>
      </c>
      <c r="F69" s="32">
        <v>319</v>
      </c>
      <c r="G69" s="32">
        <f>F69*1.2</f>
        <v>382.8</v>
      </c>
      <c r="H69" s="2" t="s">
        <v>436</v>
      </c>
    </row>
    <row r="70" spans="1:8" x14ac:dyDescent="0.25">
      <c r="A70" s="334" t="s">
        <v>46</v>
      </c>
      <c r="B70" s="335"/>
      <c r="C70" s="336" t="s">
        <v>47</v>
      </c>
      <c r="D70" s="337"/>
      <c r="E70" s="337"/>
      <c r="F70" s="337"/>
      <c r="G70" s="337"/>
      <c r="H70" s="338"/>
    </row>
    <row r="71" spans="1:8" ht="31.5" x14ac:dyDescent="0.25">
      <c r="A71" s="193" t="s">
        <v>382</v>
      </c>
      <c r="B71" s="194" t="s">
        <v>437</v>
      </c>
      <c r="C71" s="195" t="s">
        <v>438</v>
      </c>
      <c r="D71" s="195" t="s">
        <v>2</v>
      </c>
      <c r="E71" s="252" t="s">
        <v>687</v>
      </c>
      <c r="F71" s="339" t="s">
        <v>107</v>
      </c>
      <c r="G71" s="340"/>
      <c r="H71" s="196"/>
    </row>
    <row r="72" spans="1:8" ht="31.5" x14ac:dyDescent="0.25">
      <c r="A72" s="8" t="s">
        <v>439</v>
      </c>
      <c r="B72" s="27" t="s">
        <v>306</v>
      </c>
      <c r="C72" s="195" t="s">
        <v>55</v>
      </c>
      <c r="D72" s="10" t="s">
        <v>11</v>
      </c>
      <c r="E72" s="197" t="s">
        <v>12</v>
      </c>
      <c r="F72" s="339" t="s">
        <v>107</v>
      </c>
      <c r="G72" s="340"/>
      <c r="H72" s="196" t="s">
        <v>95</v>
      </c>
    </row>
    <row r="73" spans="1:8" ht="63" x14ac:dyDescent="0.25">
      <c r="A73" s="198">
        <v>16</v>
      </c>
      <c r="B73" s="194" t="s">
        <v>48</v>
      </c>
      <c r="C73" s="195" t="s">
        <v>49</v>
      </c>
      <c r="D73" s="199" t="s">
        <v>11</v>
      </c>
      <c r="E73" s="7" t="s">
        <v>12</v>
      </c>
      <c r="F73" s="341" t="s">
        <v>107</v>
      </c>
      <c r="G73" s="342"/>
      <c r="H73" s="195"/>
    </row>
    <row r="74" spans="1:8" ht="47.25" x14ac:dyDescent="0.25">
      <c r="A74" s="200">
        <v>17</v>
      </c>
      <c r="B74" s="27" t="s">
        <v>183</v>
      </c>
      <c r="C74" s="195" t="s">
        <v>440</v>
      </c>
      <c r="D74" s="201" t="s">
        <v>441</v>
      </c>
      <c r="E74" s="197" t="s">
        <v>687</v>
      </c>
      <c r="F74" s="339" t="s">
        <v>107</v>
      </c>
      <c r="G74" s="340"/>
      <c r="H74" s="10"/>
    </row>
    <row r="75" spans="1:8" x14ac:dyDescent="0.25">
      <c r="A75" s="318">
        <v>18</v>
      </c>
      <c r="B75" s="321" t="s">
        <v>313</v>
      </c>
      <c r="C75" s="264" t="s">
        <v>186</v>
      </c>
      <c r="D75" s="264"/>
      <c r="E75" s="264"/>
      <c r="F75" s="264"/>
      <c r="G75" s="264"/>
      <c r="H75" s="264"/>
    </row>
    <row r="76" spans="1:8" ht="31.5" x14ac:dyDescent="0.25">
      <c r="A76" s="319"/>
      <c r="B76" s="322"/>
      <c r="C76" s="323" t="s">
        <v>314</v>
      </c>
      <c r="D76" s="46" t="s">
        <v>11</v>
      </c>
      <c r="E76" s="32" t="s">
        <v>12</v>
      </c>
      <c r="F76" s="81">
        <v>2492</v>
      </c>
      <c r="G76" s="81">
        <f>F76*1.2</f>
        <v>2990.4</v>
      </c>
      <c r="H76" s="105" t="s">
        <v>442</v>
      </c>
    </row>
    <row r="77" spans="1:8" x14ac:dyDescent="0.25">
      <c r="A77" s="319"/>
      <c r="B77" s="322"/>
      <c r="C77" s="324"/>
      <c r="D77" s="53" t="s">
        <v>11</v>
      </c>
      <c r="E77" s="53" t="s">
        <v>187</v>
      </c>
      <c r="F77" s="327" t="s">
        <v>14</v>
      </c>
      <c r="G77" s="328"/>
      <c r="H77" s="202" t="s">
        <v>443</v>
      </c>
    </row>
    <row r="78" spans="1:8" ht="31.5" x14ac:dyDescent="0.25">
      <c r="A78" s="319"/>
      <c r="B78" s="322"/>
      <c r="C78" s="324"/>
      <c r="D78" s="203" t="s">
        <v>63</v>
      </c>
      <c r="E78" s="203" t="s">
        <v>12</v>
      </c>
      <c r="F78" s="100">
        <v>212</v>
      </c>
      <c r="G78" s="44">
        <f>F78*1.2</f>
        <v>254.39999999999998</v>
      </c>
      <c r="H78" s="202" t="s">
        <v>64</v>
      </c>
    </row>
    <row r="79" spans="1:8" x14ac:dyDescent="0.25">
      <c r="A79" s="319"/>
      <c r="B79" s="322"/>
      <c r="C79" s="325"/>
      <c r="D79" s="14" t="s">
        <v>11</v>
      </c>
      <c r="E79" s="32" t="s">
        <v>12</v>
      </c>
      <c r="F79" s="81">
        <v>8916</v>
      </c>
      <c r="G79" s="78">
        <f>F79*1.2</f>
        <v>10699.199999999999</v>
      </c>
      <c r="H79" s="329" t="s">
        <v>444</v>
      </c>
    </row>
    <row r="80" spans="1:8" x14ac:dyDescent="0.25">
      <c r="A80" s="320"/>
      <c r="B80" s="531"/>
      <c r="C80" s="326"/>
      <c r="D80" s="14" t="s">
        <v>11</v>
      </c>
      <c r="E80" s="14" t="s">
        <v>445</v>
      </c>
      <c r="F80" s="81">
        <v>42756</v>
      </c>
      <c r="G80" s="78">
        <f>F80*1.2</f>
        <v>51307.199999999997</v>
      </c>
      <c r="H80" s="330"/>
    </row>
    <row r="81" spans="1:8" ht="47.25" x14ac:dyDescent="0.25">
      <c r="A81" s="204">
        <v>19</v>
      </c>
      <c r="B81" s="52" t="s">
        <v>316</v>
      </c>
      <c r="C81" s="203" t="s">
        <v>189</v>
      </c>
      <c r="D81" s="203" t="s">
        <v>3</v>
      </c>
      <c r="E81" s="203" t="s">
        <v>12</v>
      </c>
      <c r="F81" s="83">
        <v>2181.91</v>
      </c>
      <c r="G81" s="83">
        <f>F81*1.2</f>
        <v>2618.2919999999999</v>
      </c>
      <c r="H81" s="202"/>
    </row>
    <row r="82" spans="1:8" x14ac:dyDescent="0.25">
      <c r="A82" s="331"/>
      <c r="B82" s="332"/>
      <c r="C82" s="331" t="s">
        <v>191</v>
      </c>
      <c r="D82" s="333"/>
      <c r="E82" s="333"/>
      <c r="F82" s="333"/>
      <c r="G82" s="333"/>
      <c r="H82" s="332"/>
    </row>
    <row r="83" spans="1:8" ht="47.25" x14ac:dyDescent="0.25">
      <c r="A83" s="205">
        <v>20</v>
      </c>
      <c r="B83" s="13" t="s">
        <v>192</v>
      </c>
      <c r="C83" s="45" t="s">
        <v>193</v>
      </c>
      <c r="D83" s="97" t="s">
        <v>194</v>
      </c>
      <c r="E83" s="103" t="s">
        <v>98</v>
      </c>
      <c r="F83" s="206">
        <v>2095</v>
      </c>
      <c r="G83" s="206">
        <f>F83*1.2</f>
        <v>2514</v>
      </c>
      <c r="H83" s="97" t="s">
        <v>446</v>
      </c>
    </row>
    <row r="84" spans="1:8" ht="31.5" x14ac:dyDescent="0.25">
      <c r="A84" s="205">
        <v>21</v>
      </c>
      <c r="B84" s="13" t="s">
        <v>321</v>
      </c>
      <c r="C84" s="2" t="s">
        <v>322</v>
      </c>
      <c r="D84" s="39" t="s">
        <v>11</v>
      </c>
      <c r="E84" s="32" t="s">
        <v>12</v>
      </c>
      <c r="F84" s="78">
        <v>1044</v>
      </c>
      <c r="G84" s="78">
        <f>F84*1.2</f>
        <v>1252.8</v>
      </c>
      <c r="H84" s="39" t="s">
        <v>447</v>
      </c>
    </row>
    <row r="86" spans="1:8" x14ac:dyDescent="0.25">
      <c r="A86" s="93" t="s">
        <v>197</v>
      </c>
      <c r="B86" s="87"/>
      <c r="C86" s="88"/>
      <c r="D86" s="92"/>
      <c r="E86" s="89"/>
    </row>
    <row r="87" spans="1:8" x14ac:dyDescent="0.25">
      <c r="A87" s="86"/>
      <c r="B87" s="87"/>
      <c r="C87" s="88"/>
      <c r="D87" s="92"/>
      <c r="E87" s="89"/>
    </row>
    <row r="88" spans="1:8" x14ac:dyDescent="0.25">
      <c r="A88" s="317" t="s">
        <v>96</v>
      </c>
      <c r="B88" s="317"/>
      <c r="C88" s="317"/>
      <c r="D88" s="1"/>
      <c r="E88" s="111" t="s">
        <v>333</v>
      </c>
    </row>
    <row r="89" spans="1:8" x14ac:dyDescent="0.25">
      <c r="A89" s="207"/>
      <c r="B89" s="207"/>
      <c r="C89" s="207"/>
      <c r="D89" s="1"/>
      <c r="E89" s="111"/>
    </row>
    <row r="90" spans="1:8" x14ac:dyDescent="0.25">
      <c r="A90" s="207" t="s">
        <v>66</v>
      </c>
      <c r="B90" s="95"/>
      <c r="C90" s="207"/>
      <c r="D90" s="1"/>
      <c r="E90" s="111" t="s">
        <v>334</v>
      </c>
    </row>
    <row r="91" spans="1:8" x14ac:dyDescent="0.25">
      <c r="A91" s="207"/>
      <c r="B91" s="95"/>
      <c r="C91" s="207"/>
      <c r="D91" s="1"/>
      <c r="E91" s="111"/>
    </row>
    <row r="92" spans="1:8" x14ac:dyDescent="0.25">
      <c r="A92" s="207" t="s">
        <v>68</v>
      </c>
      <c r="B92" s="95"/>
      <c r="C92" s="207"/>
      <c r="D92" s="1"/>
      <c r="E92" s="111" t="s">
        <v>335</v>
      </c>
    </row>
    <row r="93" spans="1:8" x14ac:dyDescent="0.25">
      <c r="A93" s="207"/>
      <c r="B93" s="95"/>
      <c r="C93" s="207"/>
      <c r="D93" s="1"/>
      <c r="E93" s="111"/>
    </row>
    <row r="94" spans="1:8" x14ac:dyDescent="0.25">
      <c r="A94" s="208" t="s">
        <v>449</v>
      </c>
      <c r="B94" s="208"/>
      <c r="C94" s="207"/>
      <c r="D94" s="1"/>
      <c r="E94" s="111" t="s">
        <v>450</v>
      </c>
    </row>
  </sheetData>
  <mergeCells count="94">
    <mergeCell ref="A8:H8"/>
    <mergeCell ref="B66:B69"/>
    <mergeCell ref="A66:A69"/>
    <mergeCell ref="B41:B49"/>
    <mergeCell ref="C34:H34"/>
    <mergeCell ref="B34:B36"/>
    <mergeCell ref="A34:A36"/>
    <mergeCell ref="B51:B53"/>
    <mergeCell ref="C75:H75"/>
    <mergeCell ref="B75:B80"/>
    <mergeCell ref="A75:A80"/>
    <mergeCell ref="C60:H60"/>
    <mergeCell ref="B60:B62"/>
    <mergeCell ref="A60:A62"/>
    <mergeCell ref="G1:H1"/>
    <mergeCell ref="G2:H2"/>
    <mergeCell ref="G3:H3"/>
    <mergeCell ref="G5:H5"/>
    <mergeCell ref="A7:H7"/>
    <mergeCell ref="A9:H9"/>
    <mergeCell ref="A10:H10"/>
    <mergeCell ref="A13:B13"/>
    <mergeCell ref="C13:H13"/>
    <mergeCell ref="A14:A15"/>
    <mergeCell ref="B14:B15"/>
    <mergeCell ref="C14:C15"/>
    <mergeCell ref="F14:G14"/>
    <mergeCell ref="H14:H15"/>
    <mergeCell ref="F15:G15"/>
    <mergeCell ref="A16:A17"/>
    <mergeCell ref="B16:B17"/>
    <mergeCell ref="C16:C17"/>
    <mergeCell ref="F16:G16"/>
    <mergeCell ref="H16:H17"/>
    <mergeCell ref="F17:G17"/>
    <mergeCell ref="A18:A19"/>
    <mergeCell ref="B18:B19"/>
    <mergeCell ref="C18:C19"/>
    <mergeCell ref="F18:G18"/>
    <mergeCell ref="H18:H19"/>
    <mergeCell ref="F19:G19"/>
    <mergeCell ref="A20:A33"/>
    <mergeCell ref="B20:B33"/>
    <mergeCell ref="C20:H20"/>
    <mergeCell ref="H21:H33"/>
    <mergeCell ref="A37:H37"/>
    <mergeCell ref="A38:B38"/>
    <mergeCell ref="C38:H38"/>
    <mergeCell ref="A39:A40"/>
    <mergeCell ref="B39:B40"/>
    <mergeCell ref="C39:C40"/>
    <mergeCell ref="F39:G39"/>
    <mergeCell ref="H39:H40"/>
    <mergeCell ref="F40:G40"/>
    <mergeCell ref="A54:A57"/>
    <mergeCell ref="C54:H54"/>
    <mergeCell ref="C55:C56"/>
    <mergeCell ref="H55:H57"/>
    <mergeCell ref="A41:A49"/>
    <mergeCell ref="C41:C49"/>
    <mergeCell ref="D41:D43"/>
    <mergeCell ref="E41:E43"/>
    <mergeCell ref="D44:D46"/>
    <mergeCell ref="E44:E46"/>
    <mergeCell ref="F49:G49"/>
    <mergeCell ref="A50:B50"/>
    <mergeCell ref="C50:H50"/>
    <mergeCell ref="A51:A53"/>
    <mergeCell ref="C51:H51"/>
    <mergeCell ref="C58:H58"/>
    <mergeCell ref="C61:C62"/>
    <mergeCell ref="D61:D62"/>
    <mergeCell ref="F77:G77"/>
    <mergeCell ref="H79:H80"/>
    <mergeCell ref="A82:B82"/>
    <mergeCell ref="C82:H82"/>
    <mergeCell ref="A70:B70"/>
    <mergeCell ref="C70:H70"/>
    <mergeCell ref="F71:G71"/>
    <mergeCell ref="F72:G72"/>
    <mergeCell ref="F73:G73"/>
    <mergeCell ref="F74:G74"/>
    <mergeCell ref="B54:B57"/>
    <mergeCell ref="A88:C88"/>
    <mergeCell ref="C76:C80"/>
    <mergeCell ref="A63:A65"/>
    <mergeCell ref="B63:B65"/>
    <mergeCell ref="C63:H63"/>
    <mergeCell ref="C64:C65"/>
    <mergeCell ref="C66:H66"/>
    <mergeCell ref="C67:C69"/>
    <mergeCell ref="F68:G68"/>
    <mergeCell ref="A58:A59"/>
    <mergeCell ref="B58:B5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zoomScale="80" zoomScaleNormal="80" workbookViewId="0"/>
  </sheetViews>
  <sheetFormatPr defaultRowHeight="15.75" x14ac:dyDescent="0.25"/>
  <cols>
    <col min="1" max="1" width="7.5703125" style="513" customWidth="1"/>
    <col min="2" max="2" width="13" style="513" customWidth="1"/>
    <col min="3" max="3" width="47.28515625" style="513" customWidth="1"/>
    <col min="4" max="4" width="15.140625" style="513" customWidth="1"/>
    <col min="5" max="5" width="17" style="513" customWidth="1"/>
    <col min="6" max="7" width="16.140625" style="568" customWidth="1"/>
    <col min="8" max="8" width="60.85546875" style="513" customWidth="1"/>
    <col min="9" max="16384" width="9.140625" style="513"/>
  </cols>
  <sheetData>
    <row r="1" spans="1:8" x14ac:dyDescent="0.25">
      <c r="A1" s="132"/>
      <c r="B1" s="132"/>
      <c r="C1" s="132"/>
      <c r="D1" s="132"/>
      <c r="E1" s="132"/>
      <c r="F1" s="132"/>
      <c r="G1" s="285" t="s">
        <v>0</v>
      </c>
      <c r="H1" s="285"/>
    </row>
    <row r="2" spans="1:8" x14ac:dyDescent="0.25">
      <c r="A2" s="132"/>
      <c r="B2" s="132"/>
      <c r="C2" s="132"/>
      <c r="D2" s="132"/>
      <c r="E2" s="132"/>
      <c r="F2" s="132"/>
      <c r="G2" s="286" t="s">
        <v>62</v>
      </c>
      <c r="H2" s="286"/>
    </row>
    <row r="3" spans="1:8" x14ac:dyDescent="0.25">
      <c r="A3" s="173"/>
      <c r="B3" s="163"/>
      <c r="C3" s="163"/>
      <c r="D3" s="164"/>
      <c r="E3" s="164"/>
      <c r="F3" s="173"/>
      <c r="G3" s="287" t="s">
        <v>1</v>
      </c>
      <c r="H3" s="287"/>
    </row>
    <row r="4" spans="1:8" x14ac:dyDescent="0.25">
      <c r="A4" s="173"/>
      <c r="B4" s="163"/>
      <c r="C4" s="163"/>
      <c r="D4" s="164"/>
      <c r="E4" s="164"/>
      <c r="F4" s="173"/>
      <c r="G4" s="567"/>
      <c r="H4" s="514"/>
    </row>
    <row r="5" spans="1:8" x14ac:dyDescent="0.25">
      <c r="A5" s="173"/>
      <c r="B5" s="163"/>
      <c r="C5" s="163"/>
      <c r="D5" s="164"/>
      <c r="E5" s="164"/>
      <c r="F5" s="173"/>
      <c r="G5" s="275" t="s">
        <v>666</v>
      </c>
      <c r="H5" s="275"/>
    </row>
    <row r="6" spans="1:8" x14ac:dyDescent="0.25">
      <c r="A6" s="132"/>
      <c r="B6" s="132"/>
      <c r="C6" s="132"/>
      <c r="D6" s="132"/>
      <c r="E6" s="132"/>
      <c r="F6" s="132"/>
      <c r="G6" s="169"/>
      <c r="H6" s="159"/>
    </row>
    <row r="7" spans="1:8" x14ac:dyDescent="0.25">
      <c r="A7" s="270" t="s">
        <v>10</v>
      </c>
      <c r="B7" s="270"/>
      <c r="C7" s="270"/>
      <c r="D7" s="270"/>
      <c r="E7" s="270"/>
      <c r="F7" s="270"/>
      <c r="G7" s="270"/>
      <c r="H7" s="270"/>
    </row>
    <row r="8" spans="1:8" x14ac:dyDescent="0.25">
      <c r="A8" s="270" t="s">
        <v>397</v>
      </c>
      <c r="B8" s="270"/>
      <c r="C8" s="270"/>
      <c r="D8" s="270"/>
      <c r="E8" s="270"/>
      <c r="F8" s="270"/>
      <c r="G8" s="270"/>
      <c r="H8" s="270"/>
    </row>
    <row r="9" spans="1:8" x14ac:dyDescent="0.25">
      <c r="A9" s="270" t="s">
        <v>728</v>
      </c>
      <c r="B9" s="270"/>
      <c r="C9" s="270"/>
      <c r="D9" s="270"/>
      <c r="E9" s="270"/>
      <c r="F9" s="270"/>
      <c r="G9" s="270"/>
      <c r="H9" s="270"/>
    </row>
    <row r="10" spans="1:8" x14ac:dyDescent="0.25">
      <c r="A10" s="270" t="s">
        <v>370</v>
      </c>
      <c r="B10" s="270"/>
      <c r="C10" s="270"/>
      <c r="D10" s="270"/>
      <c r="E10" s="270"/>
      <c r="F10" s="270"/>
      <c r="G10" s="270"/>
      <c r="H10" s="270"/>
    </row>
    <row r="11" spans="1:8" x14ac:dyDescent="0.25">
      <c r="A11" s="410"/>
      <c r="B11" s="410"/>
      <c r="C11" s="410"/>
      <c r="D11" s="410"/>
      <c r="E11" s="410"/>
      <c r="F11" s="410"/>
      <c r="G11" s="410"/>
      <c r="H11" s="410"/>
    </row>
    <row r="12" spans="1:8" ht="47.25" x14ac:dyDescent="0.25">
      <c r="A12" s="35" t="s">
        <v>4</v>
      </c>
      <c r="B12" s="35" t="s">
        <v>7</v>
      </c>
      <c r="C12" s="35" t="s">
        <v>5</v>
      </c>
      <c r="D12" s="35" t="s">
        <v>6</v>
      </c>
      <c r="E12" s="35" t="s">
        <v>8</v>
      </c>
      <c r="F12" s="35" t="s">
        <v>200</v>
      </c>
      <c r="G12" s="36" t="s">
        <v>201</v>
      </c>
      <c r="H12" s="35" t="s">
        <v>9</v>
      </c>
    </row>
    <row r="13" spans="1:8" x14ac:dyDescent="0.25">
      <c r="A13" s="262" t="s">
        <v>19</v>
      </c>
      <c r="B13" s="262"/>
      <c r="C13" s="262"/>
      <c r="D13" s="262"/>
      <c r="E13" s="262"/>
      <c r="F13" s="262"/>
      <c r="G13" s="262"/>
      <c r="H13" s="262"/>
    </row>
    <row r="14" spans="1:8" x14ac:dyDescent="0.25">
      <c r="A14" s="258" t="s">
        <v>20</v>
      </c>
      <c r="B14" s="258"/>
      <c r="C14" s="262" t="s">
        <v>451</v>
      </c>
      <c r="D14" s="262"/>
      <c r="E14" s="262"/>
      <c r="F14" s="262"/>
      <c r="G14" s="262"/>
      <c r="H14" s="262"/>
    </row>
    <row r="15" spans="1:8" ht="48.75" customHeight="1" x14ac:dyDescent="0.25">
      <c r="A15" s="265" t="s">
        <v>15</v>
      </c>
      <c r="B15" s="258" t="s">
        <v>22</v>
      </c>
      <c r="C15" s="269" t="s">
        <v>57</v>
      </c>
      <c r="D15" s="265" t="s">
        <v>11</v>
      </c>
      <c r="E15" s="38" t="s">
        <v>12</v>
      </c>
      <c r="F15" s="265" t="s">
        <v>14</v>
      </c>
      <c r="G15" s="265"/>
      <c r="H15" s="265" t="s">
        <v>452</v>
      </c>
    </row>
    <row r="16" spans="1:8" ht="30" customHeight="1" x14ac:dyDescent="0.25">
      <c r="A16" s="265"/>
      <c r="B16" s="258"/>
      <c r="C16" s="269"/>
      <c r="D16" s="265"/>
      <c r="E16" s="38" t="s">
        <v>13</v>
      </c>
      <c r="F16" s="265" t="s">
        <v>14</v>
      </c>
      <c r="G16" s="265"/>
      <c r="H16" s="265"/>
    </row>
    <row r="17" spans="1:8" ht="21.75" customHeight="1" x14ac:dyDescent="0.25">
      <c r="A17" s="265"/>
      <c r="B17" s="258"/>
      <c r="C17" s="269"/>
      <c r="D17" s="39" t="s">
        <v>2</v>
      </c>
      <c r="E17" s="40"/>
      <c r="F17" s="265" t="s">
        <v>14</v>
      </c>
      <c r="G17" s="265"/>
      <c r="H17" s="265"/>
    </row>
    <row r="18" spans="1:8" ht="33" customHeight="1" x14ac:dyDescent="0.25">
      <c r="A18" s="265" t="s">
        <v>18</v>
      </c>
      <c r="B18" s="258" t="s">
        <v>23</v>
      </c>
      <c r="C18" s="269" t="s">
        <v>58</v>
      </c>
      <c r="D18" s="265" t="s">
        <v>11</v>
      </c>
      <c r="E18" s="38" t="s">
        <v>12</v>
      </c>
      <c r="F18" s="265" t="s">
        <v>14</v>
      </c>
      <c r="G18" s="265"/>
      <c r="H18" s="265" t="s">
        <v>453</v>
      </c>
    </row>
    <row r="19" spans="1:8" ht="25.5" customHeight="1" x14ac:dyDescent="0.25">
      <c r="A19" s="265"/>
      <c r="B19" s="258"/>
      <c r="C19" s="269"/>
      <c r="D19" s="265"/>
      <c r="E19" s="38" t="s">
        <v>13</v>
      </c>
      <c r="F19" s="265" t="s">
        <v>14</v>
      </c>
      <c r="G19" s="265"/>
      <c r="H19" s="265"/>
    </row>
    <row r="20" spans="1:8" ht="27" customHeight="1" x14ac:dyDescent="0.25">
      <c r="A20" s="265"/>
      <c r="B20" s="258"/>
      <c r="C20" s="269"/>
      <c r="D20" s="39" t="s">
        <v>2</v>
      </c>
      <c r="E20" s="40"/>
      <c r="F20" s="265" t="s">
        <v>14</v>
      </c>
      <c r="G20" s="265"/>
      <c r="H20" s="265"/>
    </row>
    <row r="21" spans="1:8" ht="33.75" customHeight="1" x14ac:dyDescent="0.25">
      <c r="A21" s="265" t="s">
        <v>16</v>
      </c>
      <c r="B21" s="258" t="s">
        <v>24</v>
      </c>
      <c r="C21" s="269" t="s">
        <v>50</v>
      </c>
      <c r="D21" s="265" t="s">
        <v>11</v>
      </c>
      <c r="E21" s="38" t="s">
        <v>12</v>
      </c>
      <c r="F21" s="265" t="s">
        <v>14</v>
      </c>
      <c r="G21" s="265"/>
      <c r="H21" s="265" t="s">
        <v>453</v>
      </c>
    </row>
    <row r="22" spans="1:8" ht="27.75" customHeight="1" x14ac:dyDescent="0.25">
      <c r="A22" s="265"/>
      <c r="B22" s="258"/>
      <c r="C22" s="269"/>
      <c r="D22" s="265"/>
      <c r="E22" s="38" t="s">
        <v>13</v>
      </c>
      <c r="F22" s="265" t="s">
        <v>14</v>
      </c>
      <c r="G22" s="265"/>
      <c r="H22" s="265"/>
    </row>
    <row r="23" spans="1:8" ht="24.75" customHeight="1" x14ac:dyDescent="0.25">
      <c r="A23" s="265"/>
      <c r="B23" s="258"/>
      <c r="C23" s="269"/>
      <c r="D23" s="39" t="s">
        <v>2</v>
      </c>
      <c r="E23" s="40"/>
      <c r="F23" s="265" t="s">
        <v>14</v>
      </c>
      <c r="G23" s="265"/>
      <c r="H23" s="265"/>
    </row>
    <row r="24" spans="1:8" x14ac:dyDescent="0.25">
      <c r="A24" s="265" t="s">
        <v>17</v>
      </c>
      <c r="B24" s="258" t="s">
        <v>26</v>
      </c>
      <c r="C24" s="258" t="s">
        <v>25</v>
      </c>
      <c r="D24" s="258"/>
      <c r="E24" s="258"/>
      <c r="F24" s="258"/>
      <c r="G24" s="258"/>
      <c r="H24" s="258"/>
    </row>
    <row r="25" spans="1:8" x14ac:dyDescent="0.25">
      <c r="A25" s="265"/>
      <c r="B25" s="258"/>
      <c r="C25" s="265" t="s">
        <v>454</v>
      </c>
      <c r="D25" s="38" t="s">
        <v>11</v>
      </c>
      <c r="E25" s="38" t="s">
        <v>12</v>
      </c>
      <c r="F25" s="78">
        <v>4969</v>
      </c>
      <c r="G25" s="78">
        <f>F25*1.2</f>
        <v>5962.8</v>
      </c>
      <c r="H25" s="269" t="s">
        <v>688</v>
      </c>
    </row>
    <row r="26" spans="1:8" x14ac:dyDescent="0.25">
      <c r="A26" s="265"/>
      <c r="B26" s="258"/>
      <c r="C26" s="265"/>
      <c r="D26" s="38" t="s">
        <v>11</v>
      </c>
      <c r="E26" s="38" t="s">
        <v>13</v>
      </c>
      <c r="F26" s="78">
        <v>8310</v>
      </c>
      <c r="G26" s="78">
        <f t="shared" ref="G26:G52" si="0">F26*1.2</f>
        <v>9972</v>
      </c>
      <c r="H26" s="269"/>
    </row>
    <row r="27" spans="1:8" x14ac:dyDescent="0.25">
      <c r="A27" s="265"/>
      <c r="B27" s="258"/>
      <c r="C27" s="265" t="s">
        <v>455</v>
      </c>
      <c r="D27" s="38" t="s">
        <v>11</v>
      </c>
      <c r="E27" s="38" t="s">
        <v>12</v>
      </c>
      <c r="F27" s="78">
        <v>5988</v>
      </c>
      <c r="G27" s="78">
        <f t="shared" si="0"/>
        <v>7185.5999999999995</v>
      </c>
      <c r="H27" s="269"/>
    </row>
    <row r="28" spans="1:8" x14ac:dyDescent="0.25">
      <c r="A28" s="265"/>
      <c r="B28" s="258"/>
      <c r="C28" s="265"/>
      <c r="D28" s="38" t="s">
        <v>11</v>
      </c>
      <c r="E28" s="38" t="s">
        <v>13</v>
      </c>
      <c r="F28" s="78">
        <v>9073</v>
      </c>
      <c r="G28" s="78">
        <f t="shared" si="0"/>
        <v>10887.6</v>
      </c>
      <c r="H28" s="269"/>
    </row>
    <row r="29" spans="1:8" x14ac:dyDescent="0.25">
      <c r="A29" s="265"/>
      <c r="B29" s="258"/>
      <c r="C29" s="265" t="s">
        <v>456</v>
      </c>
      <c r="D29" s="38" t="s">
        <v>11</v>
      </c>
      <c r="E29" s="38" t="s">
        <v>12</v>
      </c>
      <c r="F29" s="78">
        <v>7100</v>
      </c>
      <c r="G29" s="78">
        <f t="shared" si="0"/>
        <v>8520</v>
      </c>
      <c r="H29" s="269"/>
    </row>
    <row r="30" spans="1:8" x14ac:dyDescent="0.25">
      <c r="A30" s="265"/>
      <c r="B30" s="258"/>
      <c r="C30" s="265"/>
      <c r="D30" s="38" t="s">
        <v>11</v>
      </c>
      <c r="E30" s="38" t="s">
        <v>13</v>
      </c>
      <c r="F30" s="78">
        <v>10555</v>
      </c>
      <c r="G30" s="78">
        <f t="shared" si="0"/>
        <v>12666</v>
      </c>
      <c r="H30" s="269"/>
    </row>
    <row r="31" spans="1:8" x14ac:dyDescent="0.25">
      <c r="A31" s="265"/>
      <c r="B31" s="258"/>
      <c r="C31" s="265" t="s">
        <v>374</v>
      </c>
      <c r="D31" s="38" t="s">
        <v>11</v>
      </c>
      <c r="E31" s="38" t="s">
        <v>12</v>
      </c>
      <c r="F31" s="78">
        <v>7600</v>
      </c>
      <c r="G31" s="78">
        <f t="shared" si="0"/>
        <v>9120</v>
      </c>
      <c r="H31" s="269"/>
    </row>
    <row r="32" spans="1:8" x14ac:dyDescent="0.25">
      <c r="A32" s="265"/>
      <c r="B32" s="258"/>
      <c r="C32" s="265"/>
      <c r="D32" s="38" t="s">
        <v>11</v>
      </c>
      <c r="E32" s="38" t="s">
        <v>13</v>
      </c>
      <c r="F32" s="78">
        <v>11200</v>
      </c>
      <c r="G32" s="78">
        <f t="shared" si="0"/>
        <v>13440</v>
      </c>
      <c r="H32" s="269"/>
    </row>
    <row r="33" spans="1:8" x14ac:dyDescent="0.25">
      <c r="A33" s="265"/>
      <c r="B33" s="258"/>
      <c r="C33" s="265" t="s">
        <v>457</v>
      </c>
      <c r="D33" s="38" t="s">
        <v>11</v>
      </c>
      <c r="E33" s="38" t="s">
        <v>12</v>
      </c>
      <c r="F33" s="78">
        <v>8602</v>
      </c>
      <c r="G33" s="78">
        <f t="shared" si="0"/>
        <v>10322.4</v>
      </c>
      <c r="H33" s="269"/>
    </row>
    <row r="34" spans="1:8" x14ac:dyDescent="0.25">
      <c r="A34" s="265"/>
      <c r="B34" s="258"/>
      <c r="C34" s="265"/>
      <c r="D34" s="38" t="s">
        <v>11</v>
      </c>
      <c r="E34" s="38" t="s">
        <v>13</v>
      </c>
      <c r="F34" s="78">
        <v>11939</v>
      </c>
      <c r="G34" s="78">
        <f t="shared" si="0"/>
        <v>14326.8</v>
      </c>
      <c r="H34" s="269"/>
    </row>
    <row r="35" spans="1:8" x14ac:dyDescent="0.25">
      <c r="A35" s="265"/>
      <c r="B35" s="258"/>
      <c r="C35" s="265" t="s">
        <v>458</v>
      </c>
      <c r="D35" s="38" t="s">
        <v>11</v>
      </c>
      <c r="E35" s="38" t="s">
        <v>12</v>
      </c>
      <c r="F35" s="78">
        <v>9174</v>
      </c>
      <c r="G35" s="78">
        <f t="shared" si="0"/>
        <v>11008.8</v>
      </c>
      <c r="H35" s="269"/>
    </row>
    <row r="36" spans="1:8" x14ac:dyDescent="0.25">
      <c r="A36" s="265"/>
      <c r="B36" s="258"/>
      <c r="C36" s="265"/>
      <c r="D36" s="38" t="s">
        <v>11</v>
      </c>
      <c r="E36" s="38" t="s">
        <v>13</v>
      </c>
      <c r="F36" s="78">
        <v>12414</v>
      </c>
      <c r="G36" s="78">
        <f t="shared" si="0"/>
        <v>14896.8</v>
      </c>
      <c r="H36" s="269"/>
    </row>
    <row r="37" spans="1:8" x14ac:dyDescent="0.25">
      <c r="A37" s="265"/>
      <c r="B37" s="258"/>
      <c r="C37" s="265" t="s">
        <v>459</v>
      </c>
      <c r="D37" s="38" t="s">
        <v>11</v>
      </c>
      <c r="E37" s="38" t="s">
        <v>12</v>
      </c>
      <c r="F37" s="78">
        <v>13357</v>
      </c>
      <c r="G37" s="78">
        <f t="shared" si="0"/>
        <v>16028.4</v>
      </c>
      <c r="H37" s="269"/>
    </row>
    <row r="38" spans="1:8" x14ac:dyDescent="0.25">
      <c r="A38" s="265"/>
      <c r="B38" s="258"/>
      <c r="C38" s="265"/>
      <c r="D38" s="38" t="s">
        <v>11</v>
      </c>
      <c r="E38" s="38" t="s">
        <v>13</v>
      </c>
      <c r="F38" s="78">
        <v>18065</v>
      </c>
      <c r="G38" s="78">
        <f t="shared" si="0"/>
        <v>21678</v>
      </c>
      <c r="H38" s="269"/>
    </row>
    <row r="39" spans="1:8" x14ac:dyDescent="0.25">
      <c r="A39" s="265"/>
      <c r="B39" s="258"/>
      <c r="C39" s="265" t="s">
        <v>460</v>
      </c>
      <c r="D39" s="38" t="s">
        <v>11</v>
      </c>
      <c r="E39" s="38" t="s">
        <v>12</v>
      </c>
      <c r="F39" s="78">
        <v>17156</v>
      </c>
      <c r="G39" s="78">
        <f t="shared" si="0"/>
        <v>20587.2</v>
      </c>
      <c r="H39" s="269"/>
    </row>
    <row r="40" spans="1:8" x14ac:dyDescent="0.25">
      <c r="A40" s="265"/>
      <c r="B40" s="258"/>
      <c r="C40" s="265"/>
      <c r="D40" s="38" t="s">
        <v>11</v>
      </c>
      <c r="E40" s="38" t="s">
        <v>13</v>
      </c>
      <c r="F40" s="78">
        <v>23210</v>
      </c>
      <c r="G40" s="78">
        <f t="shared" si="0"/>
        <v>27852</v>
      </c>
      <c r="H40" s="269"/>
    </row>
    <row r="41" spans="1:8" x14ac:dyDescent="0.25">
      <c r="A41" s="265"/>
      <c r="B41" s="258"/>
      <c r="C41" s="265" t="s">
        <v>461</v>
      </c>
      <c r="D41" s="38" t="s">
        <v>11</v>
      </c>
      <c r="E41" s="38" t="s">
        <v>12</v>
      </c>
      <c r="F41" s="78">
        <v>20587</v>
      </c>
      <c r="G41" s="78">
        <f t="shared" si="0"/>
        <v>24704.399999999998</v>
      </c>
      <c r="H41" s="269"/>
    </row>
    <row r="42" spans="1:8" x14ac:dyDescent="0.25">
      <c r="A42" s="265"/>
      <c r="B42" s="258"/>
      <c r="C42" s="265"/>
      <c r="D42" s="38" t="s">
        <v>11</v>
      </c>
      <c r="E42" s="38" t="s">
        <v>13</v>
      </c>
      <c r="F42" s="78">
        <v>28655</v>
      </c>
      <c r="G42" s="78">
        <f t="shared" si="0"/>
        <v>34386</v>
      </c>
      <c r="H42" s="269"/>
    </row>
    <row r="43" spans="1:8" x14ac:dyDescent="0.25">
      <c r="A43" s="265"/>
      <c r="B43" s="258"/>
      <c r="C43" s="265" t="s">
        <v>462</v>
      </c>
      <c r="D43" s="38" t="s">
        <v>11</v>
      </c>
      <c r="E43" s="38" t="s">
        <v>12</v>
      </c>
      <c r="F43" s="78">
        <v>26842</v>
      </c>
      <c r="G43" s="78">
        <f t="shared" si="0"/>
        <v>32210.399999999998</v>
      </c>
      <c r="H43" s="269"/>
    </row>
    <row r="44" spans="1:8" x14ac:dyDescent="0.25">
      <c r="A44" s="265"/>
      <c r="B44" s="258"/>
      <c r="C44" s="265"/>
      <c r="D44" s="38" t="s">
        <v>11</v>
      </c>
      <c r="E44" s="38" t="s">
        <v>13</v>
      </c>
      <c r="F44" s="78">
        <v>33000</v>
      </c>
      <c r="G44" s="78">
        <f t="shared" si="0"/>
        <v>39600</v>
      </c>
      <c r="H44" s="269"/>
    </row>
    <row r="45" spans="1:8" x14ac:dyDescent="0.25">
      <c r="A45" s="265"/>
      <c r="B45" s="258"/>
      <c r="C45" s="265" t="s">
        <v>463</v>
      </c>
      <c r="D45" s="38" t="s">
        <v>11</v>
      </c>
      <c r="E45" s="38" t="s">
        <v>12</v>
      </c>
      <c r="F45" s="78">
        <v>34073</v>
      </c>
      <c r="G45" s="78">
        <f t="shared" si="0"/>
        <v>40887.599999999999</v>
      </c>
      <c r="H45" s="269"/>
    </row>
    <row r="46" spans="1:8" x14ac:dyDescent="0.25">
      <c r="A46" s="265"/>
      <c r="B46" s="258"/>
      <c r="C46" s="265"/>
      <c r="D46" s="38" t="s">
        <v>11</v>
      </c>
      <c r="E46" s="38" t="s">
        <v>13</v>
      </c>
      <c r="F46" s="78">
        <v>40666</v>
      </c>
      <c r="G46" s="78">
        <f t="shared" si="0"/>
        <v>48799.199999999997</v>
      </c>
      <c r="H46" s="269"/>
    </row>
    <row r="47" spans="1:8" x14ac:dyDescent="0.25">
      <c r="A47" s="265"/>
      <c r="B47" s="258"/>
      <c r="C47" s="265" t="s">
        <v>464</v>
      </c>
      <c r="D47" s="38" t="s">
        <v>11</v>
      </c>
      <c r="E47" s="38" t="s">
        <v>12</v>
      </c>
      <c r="F47" s="78">
        <v>41608</v>
      </c>
      <c r="G47" s="78">
        <f t="shared" si="0"/>
        <v>49929.599999999999</v>
      </c>
      <c r="H47" s="269"/>
    </row>
    <row r="48" spans="1:8" x14ac:dyDescent="0.25">
      <c r="A48" s="265"/>
      <c r="B48" s="258"/>
      <c r="C48" s="265"/>
      <c r="D48" s="38" t="s">
        <v>11</v>
      </c>
      <c r="E48" s="38" t="s">
        <v>13</v>
      </c>
      <c r="F48" s="78">
        <v>50085</v>
      </c>
      <c r="G48" s="78">
        <f t="shared" si="0"/>
        <v>60102</v>
      </c>
      <c r="H48" s="269"/>
    </row>
    <row r="49" spans="1:8" x14ac:dyDescent="0.25">
      <c r="A49" s="265"/>
      <c r="B49" s="258"/>
      <c r="C49" s="265" t="s">
        <v>465</v>
      </c>
      <c r="D49" s="38" t="s">
        <v>11</v>
      </c>
      <c r="E49" s="38" t="s">
        <v>12</v>
      </c>
      <c r="F49" s="78">
        <v>50302</v>
      </c>
      <c r="G49" s="78">
        <f t="shared" si="0"/>
        <v>60362.399999999994</v>
      </c>
      <c r="H49" s="269"/>
    </row>
    <row r="50" spans="1:8" x14ac:dyDescent="0.25">
      <c r="A50" s="265"/>
      <c r="B50" s="258"/>
      <c r="C50" s="265"/>
      <c r="D50" s="38" t="s">
        <v>11</v>
      </c>
      <c r="E50" s="38" t="s">
        <v>13</v>
      </c>
      <c r="F50" s="78">
        <v>61148</v>
      </c>
      <c r="G50" s="78">
        <f t="shared" si="0"/>
        <v>73377.599999999991</v>
      </c>
      <c r="H50" s="269"/>
    </row>
    <row r="51" spans="1:8" x14ac:dyDescent="0.25">
      <c r="A51" s="265"/>
      <c r="B51" s="258"/>
      <c r="C51" s="265" t="s">
        <v>466</v>
      </c>
      <c r="D51" s="38" t="s">
        <v>11</v>
      </c>
      <c r="E51" s="38" t="s">
        <v>12</v>
      </c>
      <c r="F51" s="78">
        <v>55847</v>
      </c>
      <c r="G51" s="78">
        <f t="shared" si="0"/>
        <v>67016.399999999994</v>
      </c>
      <c r="H51" s="269"/>
    </row>
    <row r="52" spans="1:8" x14ac:dyDescent="0.25">
      <c r="A52" s="265"/>
      <c r="B52" s="258"/>
      <c r="C52" s="265"/>
      <c r="D52" s="38" t="s">
        <v>11</v>
      </c>
      <c r="E52" s="38" t="s">
        <v>13</v>
      </c>
      <c r="F52" s="78">
        <v>65236</v>
      </c>
      <c r="G52" s="78">
        <f t="shared" si="0"/>
        <v>78283.199999999997</v>
      </c>
      <c r="H52" s="269"/>
    </row>
    <row r="53" spans="1:8" x14ac:dyDescent="0.25">
      <c r="A53" s="269" t="s">
        <v>28</v>
      </c>
      <c r="B53" s="307" t="s">
        <v>27</v>
      </c>
      <c r="C53" s="258" t="s">
        <v>325</v>
      </c>
      <c r="D53" s="258"/>
      <c r="E53" s="258"/>
      <c r="F53" s="258"/>
      <c r="G53" s="258"/>
      <c r="H53" s="258"/>
    </row>
    <row r="54" spans="1:8" x14ac:dyDescent="0.25">
      <c r="A54" s="269"/>
      <c r="B54" s="308"/>
      <c r="C54" s="265" t="s">
        <v>29</v>
      </c>
      <c r="D54" s="265" t="s">
        <v>11</v>
      </c>
      <c r="E54" s="38" t="s">
        <v>12</v>
      </c>
      <c r="F54" s="78">
        <v>8717</v>
      </c>
      <c r="G54" s="78">
        <f>F54*1.2</f>
        <v>10460.4</v>
      </c>
      <c r="H54" s="39" t="s">
        <v>30</v>
      </c>
    </row>
    <row r="55" spans="1:8" x14ac:dyDescent="0.25">
      <c r="A55" s="269"/>
      <c r="B55" s="308"/>
      <c r="C55" s="265"/>
      <c r="D55" s="265"/>
      <c r="E55" s="38" t="s">
        <v>12</v>
      </c>
      <c r="F55" s="78">
        <v>9599</v>
      </c>
      <c r="G55" s="78">
        <f>F55*1.2</f>
        <v>11518.8</v>
      </c>
      <c r="H55" s="39" t="s">
        <v>246</v>
      </c>
    </row>
    <row r="56" spans="1:8" x14ac:dyDescent="0.25">
      <c r="A56" s="269"/>
      <c r="B56" s="308"/>
      <c r="C56" s="265"/>
      <c r="D56" s="265"/>
      <c r="E56" s="38" t="s">
        <v>13</v>
      </c>
      <c r="F56" s="78">
        <v>9741</v>
      </c>
      <c r="G56" s="78">
        <f t="shared" ref="G56:G61" si="1">F56*1.2</f>
        <v>11689.199999999999</v>
      </c>
      <c r="H56" s="40"/>
    </row>
    <row r="57" spans="1:8" x14ac:dyDescent="0.25">
      <c r="A57" s="269"/>
      <c r="B57" s="308"/>
      <c r="C57" s="265" t="s">
        <v>31</v>
      </c>
      <c r="D57" s="265" t="s">
        <v>11</v>
      </c>
      <c r="E57" s="38" t="s">
        <v>12</v>
      </c>
      <c r="F57" s="78">
        <v>6603</v>
      </c>
      <c r="G57" s="78">
        <f t="shared" si="1"/>
        <v>7923.5999999999995</v>
      </c>
      <c r="H57" s="39" t="s">
        <v>30</v>
      </c>
    </row>
    <row r="58" spans="1:8" x14ac:dyDescent="0.25">
      <c r="A58" s="269"/>
      <c r="B58" s="308"/>
      <c r="C58" s="265"/>
      <c r="D58" s="265"/>
      <c r="E58" s="38" t="s">
        <v>12</v>
      </c>
      <c r="F58" s="78">
        <v>7485</v>
      </c>
      <c r="G58" s="78">
        <f t="shared" si="1"/>
        <v>8982</v>
      </c>
      <c r="H58" s="39" t="s">
        <v>246</v>
      </c>
    </row>
    <row r="59" spans="1:8" x14ac:dyDescent="0.25">
      <c r="A59" s="269"/>
      <c r="B59" s="308"/>
      <c r="C59" s="265"/>
      <c r="D59" s="265"/>
      <c r="E59" s="38" t="s">
        <v>13</v>
      </c>
      <c r="F59" s="78">
        <v>7485</v>
      </c>
      <c r="G59" s="78">
        <f t="shared" si="1"/>
        <v>8982</v>
      </c>
      <c r="H59" s="40"/>
    </row>
    <row r="60" spans="1:8" x14ac:dyDescent="0.25">
      <c r="A60" s="269"/>
      <c r="B60" s="308"/>
      <c r="C60" s="265" t="s">
        <v>31</v>
      </c>
      <c r="D60" s="265" t="s">
        <v>11</v>
      </c>
      <c r="E60" s="38" t="s">
        <v>12</v>
      </c>
      <c r="F60" s="78">
        <v>6121</v>
      </c>
      <c r="G60" s="78">
        <f t="shared" si="1"/>
        <v>7345.2</v>
      </c>
      <c r="H60" s="38" t="s">
        <v>467</v>
      </c>
    </row>
    <row r="61" spans="1:8" x14ac:dyDescent="0.25">
      <c r="A61" s="269"/>
      <c r="B61" s="309"/>
      <c r="C61" s="265"/>
      <c r="D61" s="265"/>
      <c r="E61" s="38" t="s">
        <v>13</v>
      </c>
      <c r="F61" s="78">
        <v>6263</v>
      </c>
      <c r="G61" s="78">
        <f t="shared" si="1"/>
        <v>7515.5999999999995</v>
      </c>
      <c r="H61" s="38" t="s">
        <v>467</v>
      </c>
    </row>
    <row r="62" spans="1:8" x14ac:dyDescent="0.25">
      <c r="A62" s="269" t="s">
        <v>32</v>
      </c>
      <c r="B62" s="258" t="s">
        <v>33</v>
      </c>
      <c r="C62" s="265" t="s">
        <v>34</v>
      </c>
      <c r="D62" s="265" t="s">
        <v>11</v>
      </c>
      <c r="E62" s="38" t="s">
        <v>12</v>
      </c>
      <c r="F62" s="265" t="s">
        <v>14</v>
      </c>
      <c r="G62" s="265"/>
      <c r="H62" s="265"/>
    </row>
    <row r="63" spans="1:8" x14ac:dyDescent="0.25">
      <c r="A63" s="269"/>
      <c r="B63" s="258"/>
      <c r="C63" s="265"/>
      <c r="D63" s="265"/>
      <c r="E63" s="38" t="s">
        <v>13</v>
      </c>
      <c r="F63" s="265" t="s">
        <v>14</v>
      </c>
      <c r="G63" s="265"/>
      <c r="H63" s="265"/>
    </row>
    <row r="64" spans="1:8" x14ac:dyDescent="0.25">
      <c r="A64" s="269"/>
      <c r="B64" s="258"/>
      <c r="C64" s="265"/>
      <c r="D64" s="38" t="s">
        <v>2</v>
      </c>
      <c r="E64" s="38" t="s">
        <v>2</v>
      </c>
      <c r="F64" s="265" t="s">
        <v>14</v>
      </c>
      <c r="G64" s="265"/>
      <c r="H64" s="265"/>
    </row>
    <row r="65" spans="1:8" x14ac:dyDescent="0.25">
      <c r="A65" s="258" t="s">
        <v>35</v>
      </c>
      <c r="B65" s="258"/>
      <c r="C65" s="258"/>
      <c r="D65" s="258"/>
      <c r="E65" s="258"/>
      <c r="F65" s="258"/>
      <c r="G65" s="258"/>
      <c r="H65" s="258"/>
    </row>
    <row r="66" spans="1:8" x14ac:dyDescent="0.25">
      <c r="A66" s="258" t="s">
        <v>36</v>
      </c>
      <c r="B66" s="258"/>
      <c r="C66" s="258" t="s">
        <v>37</v>
      </c>
      <c r="D66" s="258"/>
      <c r="E66" s="258"/>
      <c r="F66" s="258"/>
      <c r="G66" s="258"/>
      <c r="H66" s="258"/>
    </row>
    <row r="67" spans="1:8" x14ac:dyDescent="0.25">
      <c r="A67" s="262">
        <v>7</v>
      </c>
      <c r="B67" s="258" t="s">
        <v>140</v>
      </c>
      <c r="C67" s="265" t="s">
        <v>38</v>
      </c>
      <c r="D67" s="265" t="s">
        <v>11</v>
      </c>
      <c r="E67" s="156" t="s">
        <v>12</v>
      </c>
      <c r="F67" s="265" t="s">
        <v>14</v>
      </c>
      <c r="G67" s="265"/>
      <c r="H67" s="265"/>
    </row>
    <row r="68" spans="1:8" x14ac:dyDescent="0.25">
      <c r="A68" s="262"/>
      <c r="B68" s="258"/>
      <c r="C68" s="265"/>
      <c r="D68" s="265"/>
      <c r="E68" s="156" t="s">
        <v>13</v>
      </c>
      <c r="F68" s="265" t="s">
        <v>14</v>
      </c>
      <c r="G68" s="265"/>
      <c r="H68" s="265"/>
    </row>
    <row r="69" spans="1:8" ht="20.25" customHeight="1" x14ac:dyDescent="0.25">
      <c r="A69" s="262"/>
      <c r="B69" s="258"/>
      <c r="C69" s="265"/>
      <c r="D69" s="38" t="s">
        <v>2</v>
      </c>
      <c r="E69" s="40"/>
      <c r="F69" s="265" t="s">
        <v>14</v>
      </c>
      <c r="G69" s="265"/>
      <c r="H69" s="265"/>
    </row>
    <row r="70" spans="1:8" ht="41.25" customHeight="1" x14ac:dyDescent="0.25">
      <c r="A70" s="269">
        <v>8</v>
      </c>
      <c r="B70" s="258" t="s">
        <v>42</v>
      </c>
      <c r="C70" s="265" t="s">
        <v>43</v>
      </c>
      <c r="D70" s="38" t="s">
        <v>40</v>
      </c>
      <c r="E70" s="38" t="s">
        <v>11</v>
      </c>
      <c r="F70" s="265" t="s">
        <v>14</v>
      </c>
      <c r="G70" s="265"/>
      <c r="H70" s="515" t="s">
        <v>90</v>
      </c>
    </row>
    <row r="71" spans="1:8" ht="41.25" customHeight="1" x14ac:dyDescent="0.25">
      <c r="A71" s="269"/>
      <c r="B71" s="258"/>
      <c r="C71" s="265"/>
      <c r="D71" s="38" t="s">
        <v>91</v>
      </c>
      <c r="E71" s="38" t="s">
        <v>2</v>
      </c>
      <c r="F71" s="265" t="s">
        <v>14</v>
      </c>
      <c r="G71" s="265"/>
      <c r="H71" s="516"/>
    </row>
    <row r="72" spans="1:8" ht="94.5" x14ac:dyDescent="0.25">
      <c r="A72" s="269"/>
      <c r="B72" s="258"/>
      <c r="C72" s="265"/>
      <c r="D72" s="265" t="s">
        <v>40</v>
      </c>
      <c r="E72" s="265" t="s">
        <v>354</v>
      </c>
      <c r="F72" s="78">
        <v>315</v>
      </c>
      <c r="G72" s="78">
        <f t="shared" ref="F72:G79" si="2">F72*1.2</f>
        <v>378</v>
      </c>
      <c r="H72" s="517" t="s">
        <v>661</v>
      </c>
    </row>
    <row r="73" spans="1:8" ht="94.5" x14ac:dyDescent="0.25">
      <c r="A73" s="269"/>
      <c r="B73" s="258"/>
      <c r="C73" s="265"/>
      <c r="D73" s="265"/>
      <c r="E73" s="265"/>
      <c r="F73" s="78">
        <v>630</v>
      </c>
      <c r="G73" s="78">
        <f t="shared" si="2"/>
        <v>756</v>
      </c>
      <c r="H73" s="517" t="s">
        <v>689</v>
      </c>
    </row>
    <row r="74" spans="1:8" ht="94.5" x14ac:dyDescent="0.25">
      <c r="A74" s="269"/>
      <c r="B74" s="258"/>
      <c r="C74" s="265"/>
      <c r="D74" s="265"/>
      <c r="E74" s="265"/>
      <c r="F74" s="78">
        <v>1050</v>
      </c>
      <c r="G74" s="78">
        <f t="shared" si="2"/>
        <v>1260</v>
      </c>
      <c r="H74" s="517" t="s">
        <v>690</v>
      </c>
    </row>
    <row r="75" spans="1:8" ht="94.5" x14ac:dyDescent="0.25">
      <c r="A75" s="269"/>
      <c r="B75" s="258"/>
      <c r="C75" s="265"/>
      <c r="D75" s="265" t="s">
        <v>40</v>
      </c>
      <c r="E75" s="265" t="s">
        <v>468</v>
      </c>
      <c r="F75" s="78">
        <v>525</v>
      </c>
      <c r="G75" s="78">
        <f t="shared" si="2"/>
        <v>630</v>
      </c>
      <c r="H75" s="517" t="s">
        <v>661</v>
      </c>
    </row>
    <row r="76" spans="1:8" ht="94.5" x14ac:dyDescent="0.25">
      <c r="A76" s="269"/>
      <c r="B76" s="258"/>
      <c r="C76" s="265"/>
      <c r="D76" s="265"/>
      <c r="E76" s="265"/>
      <c r="F76" s="78">
        <v>787</v>
      </c>
      <c r="G76" s="78">
        <f t="shared" si="2"/>
        <v>944.4</v>
      </c>
      <c r="H76" s="517" t="s">
        <v>689</v>
      </c>
    </row>
    <row r="77" spans="1:8" ht="94.5" x14ac:dyDescent="0.25">
      <c r="A77" s="269"/>
      <c r="B77" s="258"/>
      <c r="C77" s="265"/>
      <c r="D77" s="265"/>
      <c r="E77" s="265"/>
      <c r="F77" s="78">
        <v>1050</v>
      </c>
      <c r="G77" s="78">
        <f t="shared" si="2"/>
        <v>1260</v>
      </c>
      <c r="H77" s="517" t="s">
        <v>690</v>
      </c>
    </row>
    <row r="78" spans="1:8" ht="94.5" x14ac:dyDescent="0.25">
      <c r="A78" s="269"/>
      <c r="B78" s="258"/>
      <c r="C78" s="265"/>
      <c r="D78" s="265" t="s">
        <v>91</v>
      </c>
      <c r="E78" s="156" t="s">
        <v>2</v>
      </c>
      <c r="F78" s="78">
        <v>3000</v>
      </c>
      <c r="G78" s="78">
        <f t="shared" si="2"/>
        <v>3600</v>
      </c>
      <c r="H78" s="39" t="s">
        <v>691</v>
      </c>
    </row>
    <row r="79" spans="1:8" ht="94.5" x14ac:dyDescent="0.25">
      <c r="A79" s="269"/>
      <c r="B79" s="258"/>
      <c r="C79" s="265"/>
      <c r="D79" s="265"/>
      <c r="E79" s="156" t="s">
        <v>2</v>
      </c>
      <c r="F79" s="78">
        <v>4500</v>
      </c>
      <c r="G79" s="78">
        <f t="shared" si="2"/>
        <v>5400</v>
      </c>
      <c r="H79" s="39" t="s">
        <v>692</v>
      </c>
    </row>
    <row r="80" spans="1:8" x14ac:dyDescent="0.25">
      <c r="A80" s="269">
        <v>9</v>
      </c>
      <c r="B80" s="258" t="s">
        <v>469</v>
      </c>
      <c r="C80" s="265" t="s">
        <v>470</v>
      </c>
      <c r="D80" s="265" t="s">
        <v>11</v>
      </c>
      <c r="E80" s="156" t="s">
        <v>12</v>
      </c>
      <c r="F80" s="265" t="s">
        <v>14</v>
      </c>
      <c r="G80" s="265"/>
      <c r="H80" s="265"/>
    </row>
    <row r="81" spans="1:8" x14ac:dyDescent="0.25">
      <c r="A81" s="269"/>
      <c r="B81" s="258"/>
      <c r="C81" s="265"/>
      <c r="D81" s="265"/>
      <c r="E81" s="156" t="s">
        <v>13</v>
      </c>
      <c r="F81" s="265" t="s">
        <v>14</v>
      </c>
      <c r="G81" s="265"/>
      <c r="H81" s="265"/>
    </row>
    <row r="82" spans="1:8" x14ac:dyDescent="0.25">
      <c r="A82" s="269"/>
      <c r="B82" s="258"/>
      <c r="C82" s="265"/>
      <c r="D82" s="38" t="s">
        <v>2</v>
      </c>
      <c r="E82" s="156"/>
      <c r="F82" s="265" t="s">
        <v>14</v>
      </c>
      <c r="G82" s="265"/>
      <c r="H82" s="265"/>
    </row>
    <row r="83" spans="1:8" x14ac:dyDescent="0.25">
      <c r="A83" s="258" t="s">
        <v>81</v>
      </c>
      <c r="B83" s="258"/>
      <c r="C83" s="258" t="s">
        <v>82</v>
      </c>
      <c r="D83" s="258"/>
      <c r="E83" s="258"/>
      <c r="F83" s="258"/>
      <c r="G83" s="258"/>
      <c r="H83" s="258"/>
    </row>
    <row r="84" spans="1:8" ht="15.75" customHeight="1" x14ac:dyDescent="0.25">
      <c r="A84" s="269">
        <v>10</v>
      </c>
      <c r="B84" s="465" t="s">
        <v>83</v>
      </c>
      <c r="C84" s="369" t="s">
        <v>84</v>
      </c>
      <c r="D84" s="370"/>
      <c r="E84" s="370"/>
      <c r="F84" s="370"/>
      <c r="G84" s="370"/>
      <c r="H84" s="371"/>
    </row>
    <row r="85" spans="1:8" ht="102" customHeight="1" x14ac:dyDescent="0.25">
      <c r="A85" s="269"/>
      <c r="B85" s="467"/>
      <c r="C85" s="39" t="s">
        <v>471</v>
      </c>
      <c r="D85" s="257" t="s">
        <v>85</v>
      </c>
      <c r="E85" s="266" t="s">
        <v>12</v>
      </c>
      <c r="F85" s="81">
        <v>1298</v>
      </c>
      <c r="G85" s="81">
        <f>F85*1.2</f>
        <v>1557.6</v>
      </c>
      <c r="H85" s="79" t="s">
        <v>472</v>
      </c>
    </row>
    <row r="86" spans="1:8" ht="47.25" x14ac:dyDescent="0.25">
      <c r="A86" s="269"/>
      <c r="B86" s="467"/>
      <c r="C86" s="39" t="s">
        <v>473</v>
      </c>
      <c r="D86" s="257"/>
      <c r="E86" s="266"/>
      <c r="F86" s="81">
        <v>1739</v>
      </c>
      <c r="G86" s="81">
        <f>F86*1.2</f>
        <v>2086.7999999999997</v>
      </c>
      <c r="H86" s="79" t="s">
        <v>474</v>
      </c>
    </row>
    <row r="87" spans="1:8" ht="31.5" x14ac:dyDescent="0.25">
      <c r="A87" s="269"/>
      <c r="B87" s="467"/>
      <c r="C87" s="39" t="s">
        <v>265</v>
      </c>
      <c r="D87" s="76" t="s">
        <v>85</v>
      </c>
      <c r="E87" s="156" t="s">
        <v>354</v>
      </c>
      <c r="F87" s="81">
        <v>1057</v>
      </c>
      <c r="G87" s="81">
        <f>F87*1.2</f>
        <v>1268.3999999999999</v>
      </c>
      <c r="H87" s="518"/>
    </row>
    <row r="88" spans="1:8" ht="31.5" x14ac:dyDescent="0.25">
      <c r="A88" s="269"/>
      <c r="B88" s="467"/>
      <c r="C88" s="39" t="s">
        <v>266</v>
      </c>
      <c r="D88" s="257" t="s">
        <v>85</v>
      </c>
      <c r="E88" s="266" t="s">
        <v>13</v>
      </c>
      <c r="F88" s="81">
        <v>1739</v>
      </c>
      <c r="G88" s="81">
        <f>F88*1.2</f>
        <v>2086.7999999999997</v>
      </c>
      <c r="H88" s="518"/>
    </row>
    <row r="89" spans="1:8" ht="31.5" x14ac:dyDescent="0.25">
      <c r="A89" s="269"/>
      <c r="B89" s="535"/>
      <c r="C89" s="39" t="s">
        <v>265</v>
      </c>
      <c r="D89" s="257"/>
      <c r="E89" s="266"/>
      <c r="F89" s="81">
        <v>1128</v>
      </c>
      <c r="G89" s="81">
        <f>F89*1.2</f>
        <v>1353.6</v>
      </c>
      <c r="H89" s="518"/>
    </row>
    <row r="90" spans="1:8" x14ac:dyDescent="0.25">
      <c r="A90" s="432">
        <v>11</v>
      </c>
      <c r="B90" s="307" t="s">
        <v>87</v>
      </c>
      <c r="C90" s="262" t="s">
        <v>88</v>
      </c>
      <c r="D90" s="262"/>
      <c r="E90" s="262"/>
      <c r="F90" s="262"/>
      <c r="G90" s="262"/>
      <c r="H90" s="75"/>
    </row>
    <row r="91" spans="1:8" ht="204.75" x14ac:dyDescent="0.25">
      <c r="A91" s="433"/>
      <c r="B91" s="308"/>
      <c r="C91" s="77" t="s">
        <v>475</v>
      </c>
      <c r="D91" s="76" t="s">
        <v>89</v>
      </c>
      <c r="E91" s="156" t="s">
        <v>476</v>
      </c>
      <c r="F91" s="81">
        <v>368</v>
      </c>
      <c r="G91" s="81">
        <f t="shared" ref="G91:G97" si="3">F91*1.2</f>
        <v>441.59999999999997</v>
      </c>
      <c r="H91" s="79" t="s">
        <v>693</v>
      </c>
    </row>
    <row r="92" spans="1:8" ht="56.25" customHeight="1" x14ac:dyDescent="0.25">
      <c r="A92" s="433"/>
      <c r="B92" s="308"/>
      <c r="C92" s="77" t="s">
        <v>475</v>
      </c>
      <c r="D92" s="76" t="s">
        <v>89</v>
      </c>
      <c r="E92" s="156" t="s">
        <v>354</v>
      </c>
      <c r="F92" s="81">
        <v>348</v>
      </c>
      <c r="G92" s="81">
        <f t="shared" si="3"/>
        <v>417.59999999999997</v>
      </c>
      <c r="H92" s="79" t="s">
        <v>477</v>
      </c>
    </row>
    <row r="93" spans="1:8" ht="117" customHeight="1" x14ac:dyDescent="0.25">
      <c r="A93" s="433"/>
      <c r="B93" s="308"/>
      <c r="C93" s="261" t="s">
        <v>478</v>
      </c>
      <c r="D93" s="502"/>
      <c r="E93" s="156" t="s">
        <v>262</v>
      </c>
      <c r="F93" s="81">
        <v>1810</v>
      </c>
      <c r="G93" s="81">
        <f>F93*1.2</f>
        <v>2172</v>
      </c>
      <c r="H93" s="260" t="s">
        <v>479</v>
      </c>
    </row>
    <row r="94" spans="1:8" ht="79.5" customHeight="1" x14ac:dyDescent="0.25">
      <c r="A94" s="433"/>
      <c r="B94" s="308"/>
      <c r="C94" s="261"/>
      <c r="D94" s="502"/>
      <c r="E94" s="156" t="s">
        <v>12</v>
      </c>
      <c r="F94" s="81">
        <v>3117</v>
      </c>
      <c r="G94" s="78">
        <f t="shared" si="3"/>
        <v>3740.3999999999996</v>
      </c>
      <c r="H94" s="260"/>
    </row>
    <row r="95" spans="1:8" ht="204.75" x14ac:dyDescent="0.25">
      <c r="A95" s="433"/>
      <c r="B95" s="308"/>
      <c r="C95" s="77" t="s">
        <v>475</v>
      </c>
      <c r="D95" s="257" t="s">
        <v>89</v>
      </c>
      <c r="E95" s="266" t="s">
        <v>13</v>
      </c>
      <c r="F95" s="81">
        <v>545</v>
      </c>
      <c r="G95" s="78">
        <f>F95*1.2</f>
        <v>654</v>
      </c>
      <c r="H95" s="79" t="s">
        <v>694</v>
      </c>
    </row>
    <row r="96" spans="1:8" ht="47.25" x14ac:dyDescent="0.25">
      <c r="A96" s="433"/>
      <c r="B96" s="308"/>
      <c r="C96" s="77" t="s">
        <v>475</v>
      </c>
      <c r="D96" s="257"/>
      <c r="E96" s="266"/>
      <c r="F96" s="81">
        <v>415</v>
      </c>
      <c r="G96" s="78">
        <f t="shared" si="3"/>
        <v>498</v>
      </c>
      <c r="H96" s="79" t="s">
        <v>480</v>
      </c>
    </row>
    <row r="97" spans="1:8" ht="173.25" x14ac:dyDescent="0.25">
      <c r="A97" s="433"/>
      <c r="B97" s="308"/>
      <c r="C97" s="77" t="s">
        <v>478</v>
      </c>
      <c r="D97" s="257"/>
      <c r="E97" s="266"/>
      <c r="F97" s="81">
        <v>5319</v>
      </c>
      <c r="G97" s="78">
        <f t="shared" si="3"/>
        <v>6382.8</v>
      </c>
      <c r="H97" s="79" t="s">
        <v>481</v>
      </c>
    </row>
    <row r="98" spans="1:8" ht="47.25" x14ac:dyDescent="0.25">
      <c r="A98" s="434"/>
      <c r="B98" s="309"/>
      <c r="C98" s="77" t="s">
        <v>482</v>
      </c>
      <c r="D98" s="76" t="s">
        <v>89</v>
      </c>
      <c r="E98" s="155" t="s">
        <v>56</v>
      </c>
      <c r="F98" s="266" t="s">
        <v>14</v>
      </c>
      <c r="G98" s="266"/>
      <c r="H98" s="79" t="s">
        <v>483</v>
      </c>
    </row>
    <row r="99" spans="1:8" x14ac:dyDescent="0.25">
      <c r="A99" s="311">
        <v>12</v>
      </c>
      <c r="B99" s="307" t="s">
        <v>44</v>
      </c>
      <c r="C99" s="279" t="s">
        <v>157</v>
      </c>
      <c r="D99" s="279"/>
      <c r="E99" s="279"/>
      <c r="F99" s="279"/>
      <c r="G99" s="279"/>
      <c r="H99" s="279"/>
    </row>
    <row r="100" spans="1:8" ht="31.5" x14ac:dyDescent="0.25">
      <c r="A100" s="312"/>
      <c r="B100" s="308"/>
      <c r="C100" s="260" t="s">
        <v>158</v>
      </c>
      <c r="D100" s="77" t="s">
        <v>45</v>
      </c>
      <c r="E100" s="501"/>
      <c r="F100" s="81">
        <v>631</v>
      </c>
      <c r="G100" s="81">
        <f t="shared" ref="G100:G107" si="4">F100*1.2</f>
        <v>757.19999999999993</v>
      </c>
      <c r="H100" s="77" t="s">
        <v>484</v>
      </c>
    </row>
    <row r="101" spans="1:8" ht="31.5" x14ac:dyDescent="0.25">
      <c r="A101" s="313"/>
      <c r="B101" s="309"/>
      <c r="C101" s="260"/>
      <c r="D101" s="77" t="s">
        <v>45</v>
      </c>
      <c r="E101" s="501"/>
      <c r="F101" s="81">
        <v>479</v>
      </c>
      <c r="G101" s="81">
        <f t="shared" si="4"/>
        <v>574.79999999999995</v>
      </c>
      <c r="H101" s="77" t="s">
        <v>391</v>
      </c>
    </row>
    <row r="102" spans="1:8" x14ac:dyDescent="0.25">
      <c r="A102" s="311">
        <v>13</v>
      </c>
      <c r="B102" s="536" t="s">
        <v>162</v>
      </c>
      <c r="C102" s="349" t="s">
        <v>163</v>
      </c>
      <c r="D102" s="350"/>
      <c r="E102" s="350"/>
      <c r="F102" s="350"/>
      <c r="G102" s="350"/>
      <c r="H102" s="351"/>
    </row>
    <row r="103" spans="1:8" ht="32.25" customHeight="1" x14ac:dyDescent="0.25">
      <c r="A103" s="312"/>
      <c r="B103" s="537"/>
      <c r="C103" s="260" t="s">
        <v>163</v>
      </c>
      <c r="D103" s="77" t="s">
        <v>45</v>
      </c>
      <c r="E103" s="156"/>
      <c r="F103" s="81">
        <v>3997</v>
      </c>
      <c r="G103" s="81">
        <f t="shared" si="4"/>
        <v>4796.3999999999996</v>
      </c>
      <c r="H103" s="77" t="s">
        <v>485</v>
      </c>
    </row>
    <row r="104" spans="1:8" ht="60" customHeight="1" x14ac:dyDescent="0.25">
      <c r="A104" s="312"/>
      <c r="B104" s="537"/>
      <c r="C104" s="260"/>
      <c r="D104" s="76" t="s">
        <v>11</v>
      </c>
      <c r="E104" s="156" t="s">
        <v>354</v>
      </c>
      <c r="F104" s="81">
        <v>2911</v>
      </c>
      <c r="G104" s="81">
        <f t="shared" si="4"/>
        <v>3493.2</v>
      </c>
      <c r="H104" s="260" t="s">
        <v>695</v>
      </c>
    </row>
    <row r="105" spans="1:8" ht="60" customHeight="1" x14ac:dyDescent="0.25">
      <c r="A105" s="313"/>
      <c r="B105" s="538"/>
      <c r="C105" s="260"/>
      <c r="D105" s="76" t="s">
        <v>11</v>
      </c>
      <c r="E105" s="156" t="s">
        <v>468</v>
      </c>
      <c r="F105" s="81">
        <v>2911</v>
      </c>
      <c r="G105" s="81">
        <f t="shared" si="4"/>
        <v>3493.2</v>
      </c>
      <c r="H105" s="260"/>
    </row>
    <row r="106" spans="1:8" ht="15.75" customHeight="1" x14ac:dyDescent="0.25">
      <c r="A106" s="443" t="s">
        <v>167</v>
      </c>
      <c r="B106" s="444"/>
      <c r="C106" s="444"/>
      <c r="D106" s="444"/>
      <c r="E106" s="444"/>
      <c r="F106" s="444"/>
      <c r="G106" s="444"/>
      <c r="H106" s="445"/>
    </row>
    <row r="107" spans="1:8" x14ac:dyDescent="0.25">
      <c r="A107" s="257">
        <v>14</v>
      </c>
      <c r="B107" s="258" t="s">
        <v>168</v>
      </c>
      <c r="C107" s="261" t="s">
        <v>486</v>
      </c>
      <c r="D107" s="261" t="s">
        <v>3</v>
      </c>
      <c r="E107" s="266"/>
      <c r="F107" s="277">
        <v>136</v>
      </c>
      <c r="G107" s="569">
        <f t="shared" si="4"/>
        <v>163.19999999999999</v>
      </c>
      <c r="H107" s="260"/>
    </row>
    <row r="108" spans="1:8" x14ac:dyDescent="0.25">
      <c r="A108" s="257"/>
      <c r="B108" s="258"/>
      <c r="C108" s="261"/>
      <c r="D108" s="261"/>
      <c r="E108" s="266"/>
      <c r="F108" s="277"/>
      <c r="G108" s="569"/>
      <c r="H108" s="260"/>
    </row>
    <row r="109" spans="1:8" ht="31.5" x14ac:dyDescent="0.25">
      <c r="A109" s="76">
        <v>15</v>
      </c>
      <c r="B109" s="37" t="s">
        <v>170</v>
      </c>
      <c r="C109" s="79" t="s">
        <v>167</v>
      </c>
      <c r="D109" s="77" t="s">
        <v>11</v>
      </c>
      <c r="E109" s="156"/>
      <c r="F109" s="81">
        <v>2001</v>
      </c>
      <c r="G109" s="81">
        <f t="shared" ref="G109:G116" si="5">F109*1.2</f>
        <v>2401.1999999999998</v>
      </c>
      <c r="H109" s="79" t="s">
        <v>487</v>
      </c>
    </row>
    <row r="110" spans="1:8" x14ac:dyDescent="0.25">
      <c r="A110" s="311">
        <v>16</v>
      </c>
      <c r="B110" s="307" t="s">
        <v>175</v>
      </c>
      <c r="C110" s="289" t="s">
        <v>94</v>
      </c>
      <c r="D110" s="289"/>
      <c r="E110" s="289"/>
      <c r="F110" s="289"/>
      <c r="G110" s="289"/>
      <c r="H110" s="289"/>
    </row>
    <row r="111" spans="1:8" x14ac:dyDescent="0.25">
      <c r="A111" s="312"/>
      <c r="B111" s="308"/>
      <c r="C111" s="372" t="s">
        <v>697</v>
      </c>
      <c r="D111" s="261" t="s">
        <v>11</v>
      </c>
      <c r="E111" s="156" t="s">
        <v>262</v>
      </c>
      <c r="F111" s="81">
        <v>1451</v>
      </c>
      <c r="G111" s="81">
        <f t="shared" si="5"/>
        <v>1741.2</v>
      </c>
      <c r="H111" s="260" t="s">
        <v>176</v>
      </c>
    </row>
    <row r="112" spans="1:8" x14ac:dyDescent="0.25">
      <c r="A112" s="312"/>
      <c r="B112" s="308"/>
      <c r="C112" s="352"/>
      <c r="D112" s="261"/>
      <c r="E112" s="156" t="s">
        <v>12</v>
      </c>
      <c r="F112" s="81">
        <v>2727</v>
      </c>
      <c r="G112" s="81">
        <f t="shared" si="5"/>
        <v>3272.4</v>
      </c>
      <c r="H112" s="260"/>
    </row>
    <row r="113" spans="1:8" x14ac:dyDescent="0.25">
      <c r="A113" s="312"/>
      <c r="B113" s="308"/>
      <c r="C113" s="352"/>
      <c r="D113" s="261"/>
      <c r="E113" s="156" t="s">
        <v>13</v>
      </c>
      <c r="F113" s="81">
        <v>3422</v>
      </c>
      <c r="G113" s="81">
        <f t="shared" si="5"/>
        <v>4106.3999999999996</v>
      </c>
      <c r="H113" s="260"/>
    </row>
    <row r="114" spans="1:8" ht="31.5" x14ac:dyDescent="0.25">
      <c r="A114" s="312"/>
      <c r="B114" s="308"/>
      <c r="C114" s="352"/>
      <c r="D114" s="77" t="s">
        <v>3</v>
      </c>
      <c r="E114" s="156"/>
      <c r="F114" s="81">
        <v>386</v>
      </c>
      <c r="G114" s="81">
        <f t="shared" si="5"/>
        <v>463.2</v>
      </c>
      <c r="H114" s="79" t="s">
        <v>488</v>
      </c>
    </row>
    <row r="115" spans="1:8" x14ac:dyDescent="0.25">
      <c r="A115" s="312"/>
      <c r="B115" s="308"/>
      <c r="C115" s="352"/>
      <c r="D115" s="261" t="s">
        <v>11</v>
      </c>
      <c r="E115" s="156" t="s">
        <v>489</v>
      </c>
      <c r="F115" s="81">
        <v>3249</v>
      </c>
      <c r="G115" s="81">
        <f t="shared" si="5"/>
        <v>3898.7999999999997</v>
      </c>
      <c r="H115" s="260" t="s">
        <v>490</v>
      </c>
    </row>
    <row r="116" spans="1:8" x14ac:dyDescent="0.25">
      <c r="A116" s="312"/>
      <c r="B116" s="308"/>
      <c r="C116" s="352"/>
      <c r="D116" s="261"/>
      <c r="E116" s="156" t="s">
        <v>491</v>
      </c>
      <c r="F116" s="81">
        <v>4419</v>
      </c>
      <c r="G116" s="81">
        <f t="shared" si="5"/>
        <v>5302.8</v>
      </c>
      <c r="H116" s="260"/>
    </row>
    <row r="117" spans="1:8" x14ac:dyDescent="0.25">
      <c r="A117" s="312"/>
      <c r="B117" s="308"/>
      <c r="C117" s="352"/>
      <c r="D117" s="79" t="s">
        <v>3</v>
      </c>
      <c r="E117" s="156"/>
      <c r="F117" s="278" t="s">
        <v>92</v>
      </c>
      <c r="G117" s="278"/>
      <c r="H117" s="79" t="s">
        <v>696</v>
      </c>
    </row>
    <row r="118" spans="1:8" ht="94.5" x14ac:dyDescent="0.25">
      <c r="A118" s="313"/>
      <c r="B118" s="309"/>
      <c r="C118" s="330"/>
      <c r="D118" s="79" t="s">
        <v>3</v>
      </c>
      <c r="E118" s="79"/>
      <c r="F118" s="278" t="s">
        <v>92</v>
      </c>
      <c r="G118" s="278"/>
      <c r="H118" s="79" t="s">
        <v>93</v>
      </c>
    </row>
    <row r="119" spans="1:8" x14ac:dyDescent="0.25">
      <c r="A119" s="258" t="s">
        <v>46</v>
      </c>
      <c r="B119" s="258"/>
      <c r="C119" s="264" t="s">
        <v>47</v>
      </c>
      <c r="D119" s="264"/>
      <c r="E119" s="264"/>
      <c r="F119" s="264"/>
      <c r="G119" s="264"/>
      <c r="H119" s="264"/>
    </row>
    <row r="120" spans="1:8" x14ac:dyDescent="0.25">
      <c r="A120" s="265" t="s">
        <v>492</v>
      </c>
      <c r="B120" s="258" t="s">
        <v>493</v>
      </c>
      <c r="C120" s="260" t="s">
        <v>494</v>
      </c>
      <c r="D120" s="260" t="s">
        <v>11</v>
      </c>
      <c r="E120" s="156" t="s">
        <v>12</v>
      </c>
      <c r="F120" s="259" t="s">
        <v>107</v>
      </c>
      <c r="G120" s="259"/>
      <c r="H120" s="519"/>
    </row>
    <row r="121" spans="1:8" x14ac:dyDescent="0.25">
      <c r="A121" s="265"/>
      <c r="B121" s="258"/>
      <c r="C121" s="260"/>
      <c r="D121" s="260"/>
      <c r="E121" s="156" t="s">
        <v>13</v>
      </c>
      <c r="F121" s="259"/>
      <c r="G121" s="259"/>
      <c r="H121" s="519"/>
    </row>
    <row r="122" spans="1:8" x14ac:dyDescent="0.25">
      <c r="A122" s="38" t="s">
        <v>495</v>
      </c>
      <c r="B122" s="37" t="s">
        <v>437</v>
      </c>
      <c r="C122" s="79" t="s">
        <v>438</v>
      </c>
      <c r="D122" s="79" t="s">
        <v>2</v>
      </c>
      <c r="E122" s="156"/>
      <c r="F122" s="259" t="s">
        <v>107</v>
      </c>
      <c r="G122" s="259"/>
      <c r="H122" s="79"/>
    </row>
    <row r="123" spans="1:8" x14ac:dyDescent="0.25">
      <c r="A123" s="265" t="s">
        <v>496</v>
      </c>
      <c r="B123" s="258" t="s">
        <v>306</v>
      </c>
      <c r="C123" s="260" t="s">
        <v>307</v>
      </c>
      <c r="D123" s="260" t="s">
        <v>11</v>
      </c>
      <c r="E123" s="156" t="s">
        <v>12</v>
      </c>
      <c r="F123" s="259" t="s">
        <v>107</v>
      </c>
      <c r="G123" s="259"/>
      <c r="H123" s="260" t="s">
        <v>497</v>
      </c>
    </row>
    <row r="124" spans="1:8" x14ac:dyDescent="0.25">
      <c r="A124" s="265"/>
      <c r="B124" s="258"/>
      <c r="C124" s="260"/>
      <c r="D124" s="260"/>
      <c r="E124" s="156" t="s">
        <v>13</v>
      </c>
      <c r="F124" s="259"/>
      <c r="G124" s="259"/>
      <c r="H124" s="260"/>
    </row>
    <row r="125" spans="1:8" x14ac:dyDescent="0.25">
      <c r="A125" s="257">
        <v>20</v>
      </c>
      <c r="B125" s="258" t="s">
        <v>48</v>
      </c>
      <c r="C125" s="260" t="s">
        <v>49</v>
      </c>
      <c r="D125" s="261" t="s">
        <v>11</v>
      </c>
      <c r="E125" s="156" t="s">
        <v>12</v>
      </c>
      <c r="F125" s="259" t="s">
        <v>107</v>
      </c>
      <c r="G125" s="259"/>
      <c r="H125" s="260"/>
    </row>
    <row r="126" spans="1:8" x14ac:dyDescent="0.25">
      <c r="A126" s="257"/>
      <c r="B126" s="258"/>
      <c r="C126" s="260"/>
      <c r="D126" s="261"/>
      <c r="E126" s="155" t="s">
        <v>13</v>
      </c>
      <c r="F126" s="259"/>
      <c r="G126" s="259"/>
      <c r="H126" s="260"/>
    </row>
    <row r="127" spans="1:8" ht="47.25" x14ac:dyDescent="0.25">
      <c r="A127" s="76">
        <v>21</v>
      </c>
      <c r="B127" s="37" t="s">
        <v>183</v>
      </c>
      <c r="C127" s="79" t="s">
        <v>184</v>
      </c>
      <c r="D127" s="77" t="s">
        <v>2</v>
      </c>
      <c r="E127" s="155"/>
      <c r="F127" s="259" t="s">
        <v>107</v>
      </c>
      <c r="G127" s="259"/>
      <c r="H127" s="155"/>
    </row>
    <row r="128" spans="1:8" ht="31.5" x14ac:dyDescent="0.25">
      <c r="A128" s="76">
        <v>22</v>
      </c>
      <c r="B128" s="37" t="s">
        <v>309</v>
      </c>
      <c r="C128" s="79" t="s">
        <v>498</v>
      </c>
      <c r="D128" s="77" t="s">
        <v>3</v>
      </c>
      <c r="E128" s="155"/>
      <c r="F128" s="78">
        <v>5913</v>
      </c>
      <c r="G128" s="78">
        <f>F128*1.2</f>
        <v>7095.5999999999995</v>
      </c>
      <c r="H128" s="79" t="s">
        <v>311</v>
      </c>
    </row>
    <row r="129" spans="1:8" x14ac:dyDescent="0.25">
      <c r="A129" s="311">
        <v>23</v>
      </c>
      <c r="B129" s="307" t="s">
        <v>313</v>
      </c>
      <c r="C129" s="264" t="s">
        <v>186</v>
      </c>
      <c r="D129" s="264"/>
      <c r="E129" s="264"/>
      <c r="F129" s="264"/>
      <c r="G129" s="264"/>
      <c r="H129" s="264"/>
    </row>
    <row r="130" spans="1:8" ht="31.5" x14ac:dyDescent="0.25">
      <c r="A130" s="313"/>
      <c r="B130" s="309"/>
      <c r="C130" s="79" t="s">
        <v>499</v>
      </c>
      <c r="D130" s="79" t="s">
        <v>63</v>
      </c>
      <c r="E130" s="79" t="s">
        <v>282</v>
      </c>
      <c r="F130" s="81">
        <v>212</v>
      </c>
      <c r="G130" s="78">
        <f>F130*1.2</f>
        <v>254.39999999999998</v>
      </c>
      <c r="H130" s="79" t="s">
        <v>188</v>
      </c>
    </row>
    <row r="131" spans="1:8" ht="47.25" x14ac:dyDescent="0.25">
      <c r="A131" s="76">
        <v>24</v>
      </c>
      <c r="B131" s="37" t="s">
        <v>316</v>
      </c>
      <c r="C131" s="79" t="s">
        <v>59</v>
      </c>
      <c r="D131" s="77" t="s">
        <v>3</v>
      </c>
      <c r="E131" s="155"/>
      <c r="F131" s="78">
        <v>2181.91</v>
      </c>
      <c r="G131" s="78">
        <f>F131*1.2</f>
        <v>2618.2919999999999</v>
      </c>
      <c r="H131" s="79" t="s">
        <v>500</v>
      </c>
    </row>
    <row r="132" spans="1:8" x14ac:dyDescent="0.25">
      <c r="A132" s="276" t="s">
        <v>190</v>
      </c>
      <c r="B132" s="276"/>
      <c r="C132" s="276" t="s">
        <v>191</v>
      </c>
      <c r="D132" s="276"/>
      <c r="E132" s="276"/>
      <c r="F132" s="276"/>
      <c r="G132" s="276"/>
      <c r="H132" s="276"/>
    </row>
    <row r="133" spans="1:8" ht="34.5" customHeight="1" x14ac:dyDescent="0.25">
      <c r="A133" s="257">
        <v>25</v>
      </c>
      <c r="B133" s="258" t="s">
        <v>192</v>
      </c>
      <c r="C133" s="257" t="s">
        <v>193</v>
      </c>
      <c r="D133" s="269" t="s">
        <v>194</v>
      </c>
      <c r="E133" s="156" t="s">
        <v>12</v>
      </c>
      <c r="F133" s="78">
        <v>1596</v>
      </c>
      <c r="G133" s="78">
        <f>F133*1.2</f>
        <v>1915.1999999999998</v>
      </c>
      <c r="H133" s="269" t="s">
        <v>501</v>
      </c>
    </row>
    <row r="134" spans="1:8" ht="26.25" customHeight="1" x14ac:dyDescent="0.25">
      <c r="A134" s="257"/>
      <c r="B134" s="258"/>
      <c r="C134" s="257"/>
      <c r="D134" s="269"/>
      <c r="E134" s="156" t="s">
        <v>13</v>
      </c>
      <c r="F134" s="78">
        <v>1596</v>
      </c>
      <c r="G134" s="78">
        <f>F134*1.2</f>
        <v>1915.1999999999998</v>
      </c>
      <c r="H134" s="269"/>
    </row>
    <row r="135" spans="1:8" ht="127.5" customHeight="1" x14ac:dyDescent="0.25">
      <c r="A135" s="102">
        <v>26</v>
      </c>
      <c r="B135" s="37" t="s">
        <v>319</v>
      </c>
      <c r="C135" s="76" t="s">
        <v>196</v>
      </c>
      <c r="D135" s="39" t="s">
        <v>194</v>
      </c>
      <c r="E135" s="156"/>
      <c r="F135" s="78">
        <v>677</v>
      </c>
      <c r="G135" s="78">
        <f>F135*1.2</f>
        <v>812.4</v>
      </c>
      <c r="H135" s="39" t="s">
        <v>502</v>
      </c>
    </row>
    <row r="136" spans="1:8" x14ac:dyDescent="0.25">
      <c r="A136" s="166"/>
      <c r="B136" s="87"/>
      <c r="C136" s="86"/>
      <c r="D136" s="92"/>
      <c r="E136" s="89"/>
      <c r="F136" s="4"/>
      <c r="G136" s="4"/>
      <c r="H136" s="92"/>
    </row>
    <row r="137" spans="1:8" x14ac:dyDescent="0.25">
      <c r="A137" s="166"/>
      <c r="B137" s="87"/>
      <c r="C137" s="86"/>
      <c r="D137" s="92"/>
      <c r="E137" s="89"/>
      <c r="F137" s="4"/>
      <c r="G137" s="4"/>
      <c r="H137" s="92"/>
    </row>
    <row r="138" spans="1:8" x14ac:dyDescent="0.25">
      <c r="A138" s="168" t="s">
        <v>197</v>
      </c>
      <c r="B138" s="62"/>
      <c r="C138" s="145"/>
      <c r="D138" s="111"/>
      <c r="E138" s="62"/>
      <c r="F138" s="62"/>
      <c r="G138" s="564"/>
      <c r="H138" s="520"/>
    </row>
    <row r="139" spans="1:8" x14ac:dyDescent="0.25">
      <c r="A139" s="168" t="s">
        <v>96</v>
      </c>
      <c r="B139" s="63"/>
      <c r="C139" s="168"/>
      <c r="D139" s="168"/>
      <c r="E139" s="115" t="s">
        <v>97</v>
      </c>
      <c r="F139" s="62"/>
      <c r="G139" s="565"/>
      <c r="H139" s="114"/>
    </row>
    <row r="140" spans="1:8" x14ac:dyDescent="0.25">
      <c r="A140" s="63"/>
      <c r="B140" s="62"/>
      <c r="C140" s="145"/>
      <c r="D140" s="111"/>
      <c r="E140" s="62"/>
      <c r="F140" s="62"/>
      <c r="G140" s="565"/>
      <c r="H140" s="114"/>
    </row>
    <row r="141" spans="1:8" x14ac:dyDescent="0.25">
      <c r="A141" s="168" t="s">
        <v>66</v>
      </c>
      <c r="B141" s="62"/>
      <c r="C141" s="145"/>
      <c r="D141" s="111"/>
      <c r="E141" s="115" t="s">
        <v>67</v>
      </c>
      <c r="F141" s="62"/>
      <c r="G141" s="564"/>
      <c r="H141" s="521"/>
    </row>
    <row r="142" spans="1:8" x14ac:dyDescent="0.25">
      <c r="A142" s="63"/>
      <c r="B142" s="62"/>
      <c r="C142" s="145"/>
      <c r="D142" s="111"/>
      <c r="E142" s="62"/>
      <c r="F142" s="62"/>
      <c r="G142" s="564"/>
      <c r="H142" s="521"/>
    </row>
    <row r="143" spans="1:8" x14ac:dyDescent="0.25">
      <c r="A143" s="168" t="s">
        <v>68</v>
      </c>
      <c r="B143" s="522"/>
      <c r="C143" s="145"/>
      <c r="D143" s="111"/>
      <c r="E143" s="115" t="s">
        <v>69</v>
      </c>
      <c r="F143" s="62"/>
      <c r="G143" s="566"/>
      <c r="H143" s="61"/>
    </row>
    <row r="144" spans="1:8" x14ac:dyDescent="0.25">
      <c r="A144" s="168"/>
      <c r="B144" s="522"/>
      <c r="C144" s="145"/>
      <c r="D144" s="111"/>
      <c r="E144" s="115"/>
      <c r="F144" s="62"/>
      <c r="G144" s="566"/>
      <c r="H144" s="61"/>
    </row>
    <row r="145" spans="1:8" x14ac:dyDescent="0.25">
      <c r="A145" s="523" t="s">
        <v>503</v>
      </c>
      <c r="B145" s="523"/>
      <c r="C145" s="523"/>
      <c r="D145" s="62"/>
      <c r="E145" s="521" t="s">
        <v>504</v>
      </c>
      <c r="F145" s="62"/>
      <c r="G145" s="564"/>
      <c r="H145" s="521"/>
    </row>
    <row r="146" spans="1:8" x14ac:dyDescent="0.25">
      <c r="A146" s="132"/>
      <c r="B146" s="132"/>
      <c r="C146" s="132"/>
      <c r="D146" s="132"/>
      <c r="E146" s="132"/>
      <c r="F146" s="132"/>
      <c r="G146" s="169"/>
      <c r="H146" s="159"/>
    </row>
  </sheetData>
  <mergeCells count="179">
    <mergeCell ref="C129:H129"/>
    <mergeCell ref="B129:B130"/>
    <mergeCell ref="A129:A130"/>
    <mergeCell ref="C99:H99"/>
    <mergeCell ref="B99:B101"/>
    <mergeCell ref="A99:A101"/>
    <mergeCell ref="C102:H102"/>
    <mergeCell ref="B102:B105"/>
    <mergeCell ref="A102:A105"/>
    <mergeCell ref="A106:H106"/>
    <mergeCell ref="C110:H110"/>
    <mergeCell ref="B110:B118"/>
    <mergeCell ref="A110:A118"/>
    <mergeCell ref="A7:H7"/>
    <mergeCell ref="A8:H8"/>
    <mergeCell ref="A9:H9"/>
    <mergeCell ref="A10:H10"/>
    <mergeCell ref="A11:H11"/>
    <mergeCell ref="A13:H13"/>
    <mergeCell ref="G1:H1"/>
    <mergeCell ref="G2:H2"/>
    <mergeCell ref="G3:H3"/>
    <mergeCell ref="G5:H5"/>
    <mergeCell ref="A14:B14"/>
    <mergeCell ref="C14:H14"/>
    <mergeCell ref="A15:A17"/>
    <mergeCell ref="B15:B17"/>
    <mergeCell ref="C15:C17"/>
    <mergeCell ref="D15:D16"/>
    <mergeCell ref="F15:G15"/>
    <mergeCell ref="H15:H17"/>
    <mergeCell ref="F16:G16"/>
    <mergeCell ref="F17:G17"/>
    <mergeCell ref="A21:A23"/>
    <mergeCell ref="B21:B23"/>
    <mergeCell ref="C21:C23"/>
    <mergeCell ref="D21:D22"/>
    <mergeCell ref="F21:G21"/>
    <mergeCell ref="H21:H23"/>
    <mergeCell ref="F22:G22"/>
    <mergeCell ref="F23:G23"/>
    <mergeCell ref="A18:A20"/>
    <mergeCell ref="B18:B20"/>
    <mergeCell ref="C18:C20"/>
    <mergeCell ref="D18:D19"/>
    <mergeCell ref="F18:G18"/>
    <mergeCell ref="H18:H20"/>
    <mergeCell ref="F19:G19"/>
    <mergeCell ref="F20:G20"/>
    <mergeCell ref="C37:C38"/>
    <mergeCell ref="C39:C40"/>
    <mergeCell ref="C41:C42"/>
    <mergeCell ref="C43:C44"/>
    <mergeCell ref="C45:C46"/>
    <mergeCell ref="C47:C48"/>
    <mergeCell ref="A24:A52"/>
    <mergeCell ref="B24:B52"/>
    <mergeCell ref="C24:H24"/>
    <mergeCell ref="C25:C26"/>
    <mergeCell ref="H25:H52"/>
    <mergeCell ref="C27:C28"/>
    <mergeCell ref="C29:C30"/>
    <mergeCell ref="C31:C32"/>
    <mergeCell ref="C33:C34"/>
    <mergeCell ref="C35:C36"/>
    <mergeCell ref="C49:C50"/>
    <mergeCell ref="C51:C52"/>
    <mergeCell ref="A53:A61"/>
    <mergeCell ref="C53:H53"/>
    <mergeCell ref="C54:C56"/>
    <mergeCell ref="D54:D56"/>
    <mergeCell ref="C57:C59"/>
    <mergeCell ref="D57:D59"/>
    <mergeCell ref="C60:C61"/>
    <mergeCell ref="B53:B61"/>
    <mergeCell ref="H62:H64"/>
    <mergeCell ref="F63:G63"/>
    <mergeCell ref="F64:G64"/>
    <mergeCell ref="A65:H65"/>
    <mergeCell ref="A66:B66"/>
    <mergeCell ref="C66:H66"/>
    <mergeCell ref="D60:D61"/>
    <mergeCell ref="A62:A64"/>
    <mergeCell ref="B62:B64"/>
    <mergeCell ref="C62:C64"/>
    <mergeCell ref="D62:D63"/>
    <mergeCell ref="F62:G62"/>
    <mergeCell ref="H70:H71"/>
    <mergeCell ref="F71:G71"/>
    <mergeCell ref="D72:D74"/>
    <mergeCell ref="E72:E74"/>
    <mergeCell ref="D75:D77"/>
    <mergeCell ref="E75:E77"/>
    <mergeCell ref="A67:A69"/>
    <mergeCell ref="B67:B69"/>
    <mergeCell ref="C67:C69"/>
    <mergeCell ref="D67:D68"/>
    <mergeCell ref="F67:G67"/>
    <mergeCell ref="H67:H69"/>
    <mergeCell ref="F68:G68"/>
    <mergeCell ref="F69:G69"/>
    <mergeCell ref="D78:D79"/>
    <mergeCell ref="A80:A82"/>
    <mergeCell ref="B80:B82"/>
    <mergeCell ref="C80:C82"/>
    <mergeCell ref="D80:D81"/>
    <mergeCell ref="F80:G80"/>
    <mergeCell ref="A70:A79"/>
    <mergeCell ref="B70:B79"/>
    <mergeCell ref="C70:C79"/>
    <mergeCell ref="F70:G70"/>
    <mergeCell ref="H80:H82"/>
    <mergeCell ref="F81:G81"/>
    <mergeCell ref="F82:G82"/>
    <mergeCell ref="A83:B83"/>
    <mergeCell ref="C83:H83"/>
    <mergeCell ref="A84:A89"/>
    <mergeCell ref="D85:D86"/>
    <mergeCell ref="E85:E86"/>
    <mergeCell ref="C84:H84"/>
    <mergeCell ref="B84:B89"/>
    <mergeCell ref="H93:H94"/>
    <mergeCell ref="D95:D97"/>
    <mergeCell ref="E95:E97"/>
    <mergeCell ref="F98:G98"/>
    <mergeCell ref="C100:C101"/>
    <mergeCell ref="D88:D89"/>
    <mergeCell ref="E88:E89"/>
    <mergeCell ref="C90:G90"/>
    <mergeCell ref="C93:C94"/>
    <mergeCell ref="B90:B98"/>
    <mergeCell ref="G107:G108"/>
    <mergeCell ref="H107:H108"/>
    <mergeCell ref="D111:D113"/>
    <mergeCell ref="H111:H113"/>
    <mergeCell ref="D115:D116"/>
    <mergeCell ref="H115:H116"/>
    <mergeCell ref="C103:C105"/>
    <mergeCell ref="H104:H105"/>
    <mergeCell ref="A107:A108"/>
    <mergeCell ref="B107:B108"/>
    <mergeCell ref="C107:C108"/>
    <mergeCell ref="D107:D108"/>
    <mergeCell ref="E107:E108"/>
    <mergeCell ref="F107:F108"/>
    <mergeCell ref="D123:D124"/>
    <mergeCell ref="F123:G124"/>
    <mergeCell ref="F117:G117"/>
    <mergeCell ref="F118:G118"/>
    <mergeCell ref="A119:B119"/>
    <mergeCell ref="C119:H119"/>
    <mergeCell ref="A120:A121"/>
    <mergeCell ref="B120:B121"/>
    <mergeCell ref="C120:C121"/>
    <mergeCell ref="D120:D121"/>
    <mergeCell ref="F120:G121"/>
    <mergeCell ref="H120:H121"/>
    <mergeCell ref="A145:C145"/>
    <mergeCell ref="A90:A98"/>
    <mergeCell ref="C111:C118"/>
    <mergeCell ref="F127:G127"/>
    <mergeCell ref="A132:B132"/>
    <mergeCell ref="C132:H132"/>
    <mergeCell ref="A133:A134"/>
    <mergeCell ref="B133:B134"/>
    <mergeCell ref="C133:C134"/>
    <mergeCell ref="D133:D134"/>
    <mergeCell ref="H133:H134"/>
    <mergeCell ref="H123:H124"/>
    <mergeCell ref="A125:A126"/>
    <mergeCell ref="B125:B126"/>
    <mergeCell ref="C125:C126"/>
    <mergeCell ref="D125:D126"/>
    <mergeCell ref="F125:G126"/>
    <mergeCell ref="H125:H126"/>
    <mergeCell ref="F122:G122"/>
    <mergeCell ref="A123:A124"/>
    <mergeCell ref="B123:B124"/>
    <mergeCell ref="C123:C1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zoomScale="80" zoomScaleNormal="80" workbookViewId="0"/>
  </sheetViews>
  <sheetFormatPr defaultRowHeight="15" x14ac:dyDescent="0.25"/>
  <cols>
    <col min="1" max="1" width="7.5703125" customWidth="1"/>
    <col min="2" max="2" width="11.85546875" customWidth="1"/>
    <col min="3" max="3" width="48" customWidth="1"/>
    <col min="4" max="4" width="14" customWidth="1"/>
    <col min="5" max="5" width="20" customWidth="1"/>
    <col min="6" max="6" width="14.5703125" customWidth="1"/>
    <col min="7" max="7" width="16.7109375" customWidth="1"/>
    <col min="8" max="8" width="61" customWidth="1"/>
  </cols>
  <sheetData>
    <row r="1" spans="1:8" ht="15.75" x14ac:dyDescent="0.25">
      <c r="A1" s="106"/>
      <c r="B1" s="107"/>
      <c r="C1" s="107"/>
      <c r="D1" s="3"/>
      <c r="E1" s="3"/>
      <c r="F1" s="3"/>
      <c r="G1" s="272" t="s">
        <v>0</v>
      </c>
      <c r="H1" s="272"/>
    </row>
    <row r="2" spans="1:8" ht="15.75" x14ac:dyDescent="0.25">
      <c r="A2" s="106"/>
      <c r="B2" s="107"/>
      <c r="C2" s="107"/>
      <c r="D2" s="3"/>
      <c r="E2" s="3"/>
      <c r="F2" s="3"/>
      <c r="G2" s="273" t="s">
        <v>62</v>
      </c>
      <c r="H2" s="273"/>
    </row>
    <row r="3" spans="1:8" ht="15.75" x14ac:dyDescent="0.25">
      <c r="A3" s="106"/>
      <c r="B3" s="107"/>
      <c r="C3" s="107"/>
      <c r="D3" s="3"/>
      <c r="E3" s="3"/>
      <c r="F3" s="3"/>
      <c r="G3" s="274" t="s">
        <v>1</v>
      </c>
      <c r="H3" s="274"/>
    </row>
    <row r="4" spans="1:8" ht="15.75" x14ac:dyDescent="0.25">
      <c r="A4" s="106"/>
      <c r="B4" s="107"/>
      <c r="C4" s="107"/>
      <c r="D4" s="3"/>
      <c r="E4" s="3"/>
      <c r="F4" s="3"/>
      <c r="G4" s="288"/>
      <c r="H4" s="288"/>
    </row>
    <row r="5" spans="1:8" ht="15.75" x14ac:dyDescent="0.25">
      <c r="A5" s="106"/>
      <c r="B5" s="107"/>
      <c r="C5" s="107"/>
      <c r="D5" s="3"/>
      <c r="E5" s="3"/>
      <c r="F5" s="3"/>
      <c r="G5" s="275" t="s">
        <v>666</v>
      </c>
      <c r="H5" s="275"/>
    </row>
    <row r="6" spans="1:8" ht="15.75" x14ac:dyDescent="0.25">
      <c r="A6" s="106"/>
      <c r="B6" s="107"/>
      <c r="C6" s="107"/>
      <c r="D6" s="3"/>
      <c r="E6" s="3"/>
      <c r="F6" s="3"/>
      <c r="G6" s="69"/>
      <c r="H6" s="68"/>
    </row>
    <row r="7" spans="1:8" ht="15.75" x14ac:dyDescent="0.25">
      <c r="A7" s="270" t="s">
        <v>10</v>
      </c>
      <c r="B7" s="270"/>
      <c r="C7" s="270"/>
      <c r="D7" s="270"/>
      <c r="E7" s="270"/>
      <c r="F7" s="270"/>
      <c r="G7" s="270"/>
      <c r="H7" s="270"/>
    </row>
    <row r="8" spans="1:8" ht="15.75" x14ac:dyDescent="0.25">
      <c r="A8" s="270" t="s">
        <v>397</v>
      </c>
      <c r="B8" s="270"/>
      <c r="C8" s="270"/>
      <c r="D8" s="270"/>
      <c r="E8" s="270"/>
      <c r="F8" s="270"/>
      <c r="G8" s="270"/>
      <c r="H8" s="270"/>
    </row>
    <row r="9" spans="1:8" ht="15.75" x14ac:dyDescent="0.25">
      <c r="A9" s="270" t="s">
        <v>729</v>
      </c>
      <c r="B9" s="270"/>
      <c r="C9" s="270"/>
      <c r="D9" s="270"/>
      <c r="E9" s="270"/>
      <c r="F9" s="270"/>
      <c r="G9" s="270"/>
      <c r="H9" s="270"/>
    </row>
    <row r="10" spans="1:8" ht="15.75" x14ac:dyDescent="0.25">
      <c r="A10" s="270" t="s">
        <v>106</v>
      </c>
      <c r="B10" s="270"/>
      <c r="C10" s="270"/>
      <c r="D10" s="270"/>
      <c r="E10" s="270"/>
      <c r="F10" s="270"/>
      <c r="G10" s="270"/>
      <c r="H10" s="270"/>
    </row>
    <row r="11" spans="1:8" ht="15.75" x14ac:dyDescent="0.25">
      <c r="A11" s="410"/>
      <c r="B11" s="410"/>
      <c r="C11" s="410"/>
      <c r="D11" s="410"/>
      <c r="E11" s="410"/>
      <c r="F11" s="410"/>
      <c r="G11" s="410"/>
      <c r="H11" s="410"/>
    </row>
    <row r="12" spans="1:8" ht="47.25" x14ac:dyDescent="0.25">
      <c r="A12" s="35" t="s">
        <v>4</v>
      </c>
      <c r="B12" s="35" t="s">
        <v>7</v>
      </c>
      <c r="C12" s="35" t="s">
        <v>5</v>
      </c>
      <c r="D12" s="35" t="s">
        <v>6</v>
      </c>
      <c r="E12" s="35" t="s">
        <v>8</v>
      </c>
      <c r="F12" s="35" t="s">
        <v>200</v>
      </c>
      <c r="G12" s="36" t="s">
        <v>201</v>
      </c>
      <c r="H12" s="133" t="s">
        <v>9</v>
      </c>
    </row>
    <row r="13" spans="1:8" ht="15.75" x14ac:dyDescent="0.25">
      <c r="A13" s="262" t="s">
        <v>19</v>
      </c>
      <c r="B13" s="262"/>
      <c r="C13" s="262"/>
      <c r="D13" s="262"/>
      <c r="E13" s="262"/>
      <c r="F13" s="262"/>
      <c r="G13" s="262"/>
      <c r="H13" s="262"/>
    </row>
    <row r="14" spans="1:8" ht="15.75" x14ac:dyDescent="0.25">
      <c r="A14" s="258" t="s">
        <v>20</v>
      </c>
      <c r="B14" s="258"/>
      <c r="C14" s="262" t="s">
        <v>21</v>
      </c>
      <c r="D14" s="262"/>
      <c r="E14" s="262"/>
      <c r="F14" s="262"/>
      <c r="G14" s="262"/>
      <c r="H14" s="262"/>
    </row>
    <row r="15" spans="1:8" ht="33" customHeight="1" x14ac:dyDescent="0.25">
      <c r="A15" s="265" t="s">
        <v>15</v>
      </c>
      <c r="B15" s="258" t="s">
        <v>22</v>
      </c>
      <c r="C15" s="269" t="s">
        <v>57</v>
      </c>
      <c r="D15" s="265" t="s">
        <v>11</v>
      </c>
      <c r="E15" s="18" t="s">
        <v>12</v>
      </c>
      <c r="F15" s="265" t="s">
        <v>14</v>
      </c>
      <c r="G15" s="265"/>
      <c r="H15" s="293" t="s">
        <v>53</v>
      </c>
    </row>
    <row r="16" spans="1:8" ht="26.25" customHeight="1" x14ac:dyDescent="0.25">
      <c r="A16" s="265"/>
      <c r="B16" s="258"/>
      <c r="C16" s="269"/>
      <c r="D16" s="265"/>
      <c r="E16" s="18" t="s">
        <v>13</v>
      </c>
      <c r="F16" s="265" t="s">
        <v>14</v>
      </c>
      <c r="G16" s="265"/>
      <c r="H16" s="293"/>
    </row>
    <row r="17" spans="1:8" ht="25.5" customHeight="1" x14ac:dyDescent="0.25">
      <c r="A17" s="265"/>
      <c r="B17" s="258"/>
      <c r="C17" s="269"/>
      <c r="D17" s="39" t="s">
        <v>2</v>
      </c>
      <c r="E17" s="40"/>
      <c r="F17" s="265" t="s">
        <v>14</v>
      </c>
      <c r="G17" s="265"/>
      <c r="H17" s="293"/>
    </row>
    <row r="18" spans="1:8" ht="21.75" customHeight="1" x14ac:dyDescent="0.25">
      <c r="A18" s="265" t="s">
        <v>18</v>
      </c>
      <c r="B18" s="258" t="s">
        <v>23</v>
      </c>
      <c r="C18" s="269" t="s">
        <v>58</v>
      </c>
      <c r="D18" s="265" t="s">
        <v>11</v>
      </c>
      <c r="E18" s="18" t="s">
        <v>12</v>
      </c>
      <c r="F18" s="265" t="s">
        <v>14</v>
      </c>
      <c r="G18" s="265"/>
      <c r="H18" s="293" t="s">
        <v>52</v>
      </c>
    </row>
    <row r="19" spans="1:8" ht="21.75" customHeight="1" x14ac:dyDescent="0.25">
      <c r="A19" s="265"/>
      <c r="B19" s="258"/>
      <c r="C19" s="269"/>
      <c r="D19" s="265"/>
      <c r="E19" s="18" t="s">
        <v>13</v>
      </c>
      <c r="F19" s="265" t="s">
        <v>14</v>
      </c>
      <c r="G19" s="265"/>
      <c r="H19" s="293"/>
    </row>
    <row r="20" spans="1:8" ht="21.75" customHeight="1" x14ac:dyDescent="0.25">
      <c r="A20" s="265"/>
      <c r="B20" s="258"/>
      <c r="C20" s="269"/>
      <c r="D20" s="39" t="s">
        <v>2</v>
      </c>
      <c r="E20" s="40"/>
      <c r="F20" s="265" t="s">
        <v>14</v>
      </c>
      <c r="G20" s="265"/>
      <c r="H20" s="293"/>
    </row>
    <row r="21" spans="1:8" ht="21.75" customHeight="1" x14ac:dyDescent="0.25">
      <c r="A21" s="265" t="s">
        <v>16</v>
      </c>
      <c r="B21" s="258" t="s">
        <v>24</v>
      </c>
      <c r="C21" s="269" t="s">
        <v>50</v>
      </c>
      <c r="D21" s="265" t="s">
        <v>11</v>
      </c>
      <c r="E21" s="18" t="s">
        <v>12</v>
      </c>
      <c r="F21" s="265" t="s">
        <v>14</v>
      </c>
      <c r="G21" s="265"/>
      <c r="H21" s="293" t="s">
        <v>52</v>
      </c>
    </row>
    <row r="22" spans="1:8" ht="21.75" customHeight="1" x14ac:dyDescent="0.25">
      <c r="A22" s="265"/>
      <c r="B22" s="258"/>
      <c r="C22" s="269"/>
      <c r="D22" s="265"/>
      <c r="E22" s="18" t="s">
        <v>13</v>
      </c>
      <c r="F22" s="265" t="s">
        <v>14</v>
      </c>
      <c r="G22" s="265"/>
      <c r="H22" s="293"/>
    </row>
    <row r="23" spans="1:8" ht="21.75" customHeight="1" x14ac:dyDescent="0.25">
      <c r="A23" s="265"/>
      <c r="B23" s="258"/>
      <c r="C23" s="269"/>
      <c r="D23" s="39" t="s">
        <v>2</v>
      </c>
      <c r="E23" s="40"/>
      <c r="F23" s="265" t="s">
        <v>14</v>
      </c>
      <c r="G23" s="265"/>
      <c r="H23" s="293"/>
    </row>
    <row r="24" spans="1:8" ht="15.75" x14ac:dyDescent="0.25">
      <c r="A24" s="532" t="s">
        <v>17</v>
      </c>
      <c r="B24" s="307" t="s">
        <v>27</v>
      </c>
      <c r="C24" s="258" t="s">
        <v>505</v>
      </c>
      <c r="D24" s="258"/>
      <c r="E24" s="258"/>
      <c r="F24" s="258"/>
      <c r="G24" s="258"/>
      <c r="H24" s="258"/>
    </row>
    <row r="25" spans="1:8" ht="15.75" x14ac:dyDescent="0.25">
      <c r="A25" s="533"/>
      <c r="B25" s="308"/>
      <c r="C25" s="267" t="s">
        <v>29</v>
      </c>
      <c r="D25" s="267" t="s">
        <v>11</v>
      </c>
      <c r="E25" s="19" t="s">
        <v>12</v>
      </c>
      <c r="F25" s="100">
        <v>7073</v>
      </c>
      <c r="G25" s="100">
        <f t="shared" ref="G25:G32" si="0">F25*1.2</f>
        <v>8487.6</v>
      </c>
      <c r="H25" s="134" t="s">
        <v>30</v>
      </c>
    </row>
    <row r="26" spans="1:8" ht="15.75" x14ac:dyDescent="0.25">
      <c r="A26" s="533"/>
      <c r="B26" s="308"/>
      <c r="C26" s="267"/>
      <c r="D26" s="267"/>
      <c r="E26" s="19" t="s">
        <v>12</v>
      </c>
      <c r="F26" s="100">
        <v>7955</v>
      </c>
      <c r="G26" s="100">
        <f t="shared" si="0"/>
        <v>9546</v>
      </c>
      <c r="H26" s="134" t="s">
        <v>246</v>
      </c>
    </row>
    <row r="27" spans="1:8" ht="15.75" x14ac:dyDescent="0.25">
      <c r="A27" s="533"/>
      <c r="B27" s="308"/>
      <c r="C27" s="267"/>
      <c r="D27" s="267"/>
      <c r="E27" s="19" t="s">
        <v>13</v>
      </c>
      <c r="F27" s="100">
        <v>8097</v>
      </c>
      <c r="G27" s="100">
        <f t="shared" si="0"/>
        <v>9716.4</v>
      </c>
      <c r="H27" s="141"/>
    </row>
    <row r="28" spans="1:8" ht="15.75" x14ac:dyDescent="0.25">
      <c r="A28" s="533"/>
      <c r="B28" s="308"/>
      <c r="C28" s="267" t="s">
        <v>31</v>
      </c>
      <c r="D28" s="267" t="s">
        <v>11</v>
      </c>
      <c r="E28" s="19" t="s">
        <v>12</v>
      </c>
      <c r="F28" s="100">
        <v>4959</v>
      </c>
      <c r="G28" s="100">
        <f t="shared" si="0"/>
        <v>5950.8</v>
      </c>
      <c r="H28" s="134" t="s">
        <v>30</v>
      </c>
    </row>
    <row r="29" spans="1:8" ht="15.75" x14ac:dyDescent="0.25">
      <c r="A29" s="533"/>
      <c r="B29" s="308"/>
      <c r="C29" s="267"/>
      <c r="D29" s="267"/>
      <c r="E29" s="19" t="s">
        <v>12</v>
      </c>
      <c r="F29" s="100">
        <v>5841</v>
      </c>
      <c r="G29" s="100">
        <f t="shared" si="0"/>
        <v>7009.2</v>
      </c>
      <c r="H29" s="134" t="s">
        <v>246</v>
      </c>
    </row>
    <row r="30" spans="1:8" ht="15.75" x14ac:dyDescent="0.25">
      <c r="A30" s="533"/>
      <c r="B30" s="308"/>
      <c r="C30" s="267"/>
      <c r="D30" s="267"/>
      <c r="E30" s="19" t="s">
        <v>13</v>
      </c>
      <c r="F30" s="100">
        <v>5841</v>
      </c>
      <c r="G30" s="100">
        <f t="shared" si="0"/>
        <v>7009.2</v>
      </c>
      <c r="H30" s="134"/>
    </row>
    <row r="31" spans="1:8" ht="15.75" x14ac:dyDescent="0.25">
      <c r="A31" s="533"/>
      <c r="B31" s="308"/>
      <c r="C31" s="267" t="s">
        <v>31</v>
      </c>
      <c r="D31" s="267" t="s">
        <v>11</v>
      </c>
      <c r="E31" s="19" t="s">
        <v>12</v>
      </c>
      <c r="F31" s="100">
        <v>4477</v>
      </c>
      <c r="G31" s="100">
        <f t="shared" si="0"/>
        <v>5372.4</v>
      </c>
      <c r="H31" s="134" t="s">
        <v>145</v>
      </c>
    </row>
    <row r="32" spans="1:8" ht="15.75" x14ac:dyDescent="0.25">
      <c r="A32" s="534"/>
      <c r="B32" s="309"/>
      <c r="C32" s="267"/>
      <c r="D32" s="267"/>
      <c r="E32" s="19" t="s">
        <v>13</v>
      </c>
      <c r="F32" s="100">
        <v>4619</v>
      </c>
      <c r="G32" s="100">
        <f t="shared" si="0"/>
        <v>5542.8</v>
      </c>
      <c r="H32" s="134" t="s">
        <v>145</v>
      </c>
    </row>
    <row r="33" spans="1:8" ht="15.75" x14ac:dyDescent="0.25">
      <c r="A33" s="267" t="s">
        <v>28</v>
      </c>
      <c r="B33" s="268" t="s">
        <v>33</v>
      </c>
      <c r="C33" s="267" t="s">
        <v>34</v>
      </c>
      <c r="D33" s="267" t="s">
        <v>11</v>
      </c>
      <c r="E33" s="19" t="s">
        <v>12</v>
      </c>
      <c r="F33" s="267" t="s">
        <v>14</v>
      </c>
      <c r="G33" s="267"/>
      <c r="H33" s="408"/>
    </row>
    <row r="34" spans="1:8" ht="15.75" x14ac:dyDescent="0.25">
      <c r="A34" s="267"/>
      <c r="B34" s="268"/>
      <c r="C34" s="267"/>
      <c r="D34" s="267"/>
      <c r="E34" s="19" t="s">
        <v>13</v>
      </c>
      <c r="F34" s="267" t="s">
        <v>14</v>
      </c>
      <c r="G34" s="267"/>
      <c r="H34" s="408"/>
    </row>
    <row r="35" spans="1:8" ht="15.75" x14ac:dyDescent="0.25">
      <c r="A35" s="267"/>
      <c r="B35" s="268"/>
      <c r="C35" s="267"/>
      <c r="D35" s="19" t="s">
        <v>2</v>
      </c>
      <c r="E35" s="19" t="s">
        <v>2</v>
      </c>
      <c r="F35" s="267" t="s">
        <v>14</v>
      </c>
      <c r="G35" s="267"/>
      <c r="H35" s="408"/>
    </row>
    <row r="36" spans="1:8" ht="15.75" x14ac:dyDescent="0.25">
      <c r="A36" s="258" t="s">
        <v>35</v>
      </c>
      <c r="B36" s="258"/>
      <c r="C36" s="258"/>
      <c r="D36" s="258"/>
      <c r="E36" s="258"/>
      <c r="F36" s="258"/>
      <c r="G36" s="258"/>
      <c r="H36" s="258"/>
    </row>
    <row r="37" spans="1:8" ht="15.75" x14ac:dyDescent="0.25">
      <c r="A37" s="258" t="s">
        <v>36</v>
      </c>
      <c r="B37" s="258"/>
      <c r="C37" s="258" t="s">
        <v>37</v>
      </c>
      <c r="D37" s="258"/>
      <c r="E37" s="258"/>
      <c r="F37" s="258"/>
      <c r="G37" s="258"/>
      <c r="H37" s="258"/>
    </row>
    <row r="38" spans="1:8" ht="15.75" x14ac:dyDescent="0.25">
      <c r="A38" s="265" t="s">
        <v>32</v>
      </c>
      <c r="B38" s="258" t="s">
        <v>140</v>
      </c>
      <c r="C38" s="265" t="s">
        <v>38</v>
      </c>
      <c r="D38" s="265" t="s">
        <v>11</v>
      </c>
      <c r="E38" s="32" t="s">
        <v>12</v>
      </c>
      <c r="F38" s="265" t="s">
        <v>14</v>
      </c>
      <c r="G38" s="265"/>
      <c r="H38" s="408"/>
    </row>
    <row r="39" spans="1:8" ht="15.75" x14ac:dyDescent="0.25">
      <c r="A39" s="265"/>
      <c r="B39" s="258"/>
      <c r="C39" s="265"/>
      <c r="D39" s="265"/>
      <c r="E39" s="32" t="s">
        <v>13</v>
      </c>
      <c r="F39" s="265" t="s">
        <v>14</v>
      </c>
      <c r="G39" s="265"/>
      <c r="H39" s="408"/>
    </row>
    <row r="40" spans="1:8" ht="15.75" x14ac:dyDescent="0.25">
      <c r="A40" s="265"/>
      <c r="B40" s="258"/>
      <c r="C40" s="265"/>
      <c r="D40" s="18" t="s">
        <v>2</v>
      </c>
      <c r="E40" s="40"/>
      <c r="F40" s="265" t="s">
        <v>14</v>
      </c>
      <c r="G40" s="265"/>
      <c r="H40" s="408"/>
    </row>
    <row r="41" spans="1:8" ht="42" customHeight="1" x14ac:dyDescent="0.25">
      <c r="A41" s="265" t="s">
        <v>60</v>
      </c>
      <c r="B41" s="258" t="s">
        <v>42</v>
      </c>
      <c r="C41" s="532" t="s">
        <v>43</v>
      </c>
      <c r="D41" s="18" t="s">
        <v>40</v>
      </c>
      <c r="E41" s="32" t="s">
        <v>11</v>
      </c>
      <c r="F41" s="267" t="s">
        <v>14</v>
      </c>
      <c r="G41" s="408"/>
      <c r="H41" s="539" t="s">
        <v>90</v>
      </c>
    </row>
    <row r="42" spans="1:8" ht="42" customHeight="1" x14ac:dyDescent="0.25">
      <c r="A42" s="265"/>
      <c r="B42" s="258"/>
      <c r="C42" s="533"/>
      <c r="D42" s="18" t="s">
        <v>91</v>
      </c>
      <c r="E42" s="32" t="s">
        <v>2</v>
      </c>
      <c r="F42" s="267" t="s">
        <v>14</v>
      </c>
      <c r="G42" s="408"/>
      <c r="H42" s="326"/>
    </row>
    <row r="43" spans="1:8" ht="94.5" x14ac:dyDescent="0.25">
      <c r="A43" s="265"/>
      <c r="B43" s="258"/>
      <c r="C43" s="533"/>
      <c r="D43" s="265" t="s">
        <v>40</v>
      </c>
      <c r="E43" s="266" t="s">
        <v>12</v>
      </c>
      <c r="F43" s="100">
        <v>315</v>
      </c>
      <c r="G43" s="100">
        <f t="shared" ref="G43:G50" si="1">F43*1.2</f>
        <v>378</v>
      </c>
      <c r="H43" s="2" t="s">
        <v>661</v>
      </c>
    </row>
    <row r="44" spans="1:8" ht="94.5" x14ac:dyDescent="0.25">
      <c r="A44" s="265"/>
      <c r="B44" s="258"/>
      <c r="C44" s="533"/>
      <c r="D44" s="265"/>
      <c r="E44" s="409"/>
      <c r="F44" s="100">
        <v>630</v>
      </c>
      <c r="G44" s="100">
        <f t="shared" si="1"/>
        <v>756</v>
      </c>
      <c r="H44" s="2" t="s">
        <v>660</v>
      </c>
    </row>
    <row r="45" spans="1:8" ht="94.5" x14ac:dyDescent="0.25">
      <c r="A45" s="265"/>
      <c r="B45" s="258"/>
      <c r="C45" s="533"/>
      <c r="D45" s="408"/>
      <c r="E45" s="409"/>
      <c r="F45" s="100">
        <v>1050</v>
      </c>
      <c r="G45" s="100">
        <f t="shared" si="1"/>
        <v>1260</v>
      </c>
      <c r="H45" s="2" t="s">
        <v>659</v>
      </c>
    </row>
    <row r="46" spans="1:8" ht="94.5" x14ac:dyDescent="0.25">
      <c r="A46" s="265"/>
      <c r="B46" s="258"/>
      <c r="C46" s="533"/>
      <c r="D46" s="265" t="s">
        <v>40</v>
      </c>
      <c r="E46" s="293" t="s">
        <v>259</v>
      </c>
      <c r="F46" s="100">
        <v>525</v>
      </c>
      <c r="G46" s="100">
        <f t="shared" si="1"/>
        <v>630</v>
      </c>
      <c r="H46" s="2" t="s">
        <v>661</v>
      </c>
    </row>
    <row r="47" spans="1:8" ht="94.5" x14ac:dyDescent="0.25">
      <c r="A47" s="265"/>
      <c r="B47" s="258"/>
      <c r="C47" s="533"/>
      <c r="D47" s="408"/>
      <c r="E47" s="409"/>
      <c r="F47" s="100">
        <v>787</v>
      </c>
      <c r="G47" s="100">
        <f t="shared" si="1"/>
        <v>944.4</v>
      </c>
      <c r="H47" s="2" t="s">
        <v>660</v>
      </c>
    </row>
    <row r="48" spans="1:8" ht="94.5" x14ac:dyDescent="0.25">
      <c r="A48" s="265"/>
      <c r="B48" s="258"/>
      <c r="C48" s="533"/>
      <c r="D48" s="408"/>
      <c r="E48" s="409"/>
      <c r="F48" s="100">
        <v>1050</v>
      </c>
      <c r="G48" s="100">
        <f t="shared" si="1"/>
        <v>1260</v>
      </c>
      <c r="H48" s="2" t="s">
        <v>659</v>
      </c>
    </row>
    <row r="49" spans="1:8" ht="94.5" x14ac:dyDescent="0.25">
      <c r="A49" s="265"/>
      <c r="B49" s="258"/>
      <c r="C49" s="533"/>
      <c r="D49" s="265" t="s">
        <v>41</v>
      </c>
      <c r="E49" s="32" t="s">
        <v>2</v>
      </c>
      <c r="F49" s="83">
        <v>3000</v>
      </c>
      <c r="G49" s="100">
        <f t="shared" si="1"/>
        <v>3600</v>
      </c>
      <c r="H49" s="134" t="s">
        <v>672</v>
      </c>
    </row>
    <row r="50" spans="1:8" ht="94.5" x14ac:dyDescent="0.25">
      <c r="A50" s="265"/>
      <c r="B50" s="258"/>
      <c r="C50" s="534"/>
      <c r="D50" s="265"/>
      <c r="E50" s="32" t="s">
        <v>2</v>
      </c>
      <c r="F50" s="83">
        <v>4500</v>
      </c>
      <c r="G50" s="100">
        <f t="shared" si="1"/>
        <v>5400</v>
      </c>
      <c r="H50" s="134" t="s">
        <v>662</v>
      </c>
    </row>
    <row r="51" spans="1:8" ht="15.75" x14ac:dyDescent="0.25">
      <c r="A51" s="265" t="s">
        <v>39</v>
      </c>
      <c r="B51" s="258" t="s">
        <v>506</v>
      </c>
      <c r="C51" s="265" t="s">
        <v>470</v>
      </c>
      <c r="D51" s="265" t="s">
        <v>11</v>
      </c>
      <c r="E51" s="32" t="s">
        <v>12</v>
      </c>
      <c r="F51" s="265" t="s">
        <v>14</v>
      </c>
      <c r="G51" s="265"/>
      <c r="H51" s="408"/>
    </row>
    <row r="52" spans="1:8" ht="15.75" x14ac:dyDescent="0.25">
      <c r="A52" s="265"/>
      <c r="B52" s="258"/>
      <c r="C52" s="265"/>
      <c r="D52" s="265"/>
      <c r="E52" s="32" t="s">
        <v>13</v>
      </c>
      <c r="F52" s="265" t="s">
        <v>14</v>
      </c>
      <c r="G52" s="265"/>
      <c r="H52" s="408"/>
    </row>
    <row r="53" spans="1:8" ht="15.75" x14ac:dyDescent="0.25">
      <c r="A53" s="265"/>
      <c r="B53" s="258"/>
      <c r="C53" s="265"/>
      <c r="D53" s="18" t="s">
        <v>2</v>
      </c>
      <c r="E53" s="32"/>
      <c r="F53" s="265" t="s">
        <v>14</v>
      </c>
      <c r="G53" s="265"/>
      <c r="H53" s="408"/>
    </row>
    <row r="54" spans="1:8" ht="15.75" x14ac:dyDescent="0.25">
      <c r="A54" s="258" t="s">
        <v>81</v>
      </c>
      <c r="B54" s="258"/>
      <c r="C54" s="258" t="s">
        <v>82</v>
      </c>
      <c r="D54" s="258"/>
      <c r="E54" s="258"/>
      <c r="F54" s="258"/>
      <c r="G54" s="258"/>
      <c r="H54" s="258"/>
    </row>
    <row r="55" spans="1:8" ht="15.75" x14ac:dyDescent="0.25">
      <c r="A55" s="432">
        <v>9</v>
      </c>
      <c r="B55" s="465" t="s">
        <v>83</v>
      </c>
      <c r="C55" s="262" t="s">
        <v>84</v>
      </c>
      <c r="D55" s="262"/>
      <c r="E55" s="262"/>
      <c r="F55" s="262"/>
      <c r="G55" s="262"/>
      <c r="H55" s="262"/>
    </row>
    <row r="56" spans="1:8" ht="78.75" x14ac:dyDescent="0.25">
      <c r="A56" s="433"/>
      <c r="B56" s="467"/>
      <c r="C56" s="269" t="s">
        <v>507</v>
      </c>
      <c r="D56" s="257" t="s">
        <v>85</v>
      </c>
      <c r="E56" s="266" t="s">
        <v>12</v>
      </c>
      <c r="F56" s="83">
        <v>1298</v>
      </c>
      <c r="G56" s="100">
        <f t="shared" ref="G56:G60" si="2">F56*1.2</f>
        <v>1557.6</v>
      </c>
      <c r="H56" s="39" t="s">
        <v>520</v>
      </c>
    </row>
    <row r="57" spans="1:8" ht="63" x14ac:dyDescent="0.25">
      <c r="A57" s="433"/>
      <c r="B57" s="467"/>
      <c r="C57" s="269"/>
      <c r="D57" s="257"/>
      <c r="E57" s="266"/>
      <c r="F57" s="83">
        <v>1739</v>
      </c>
      <c r="G57" s="100">
        <f t="shared" si="2"/>
        <v>2086.7999999999997</v>
      </c>
      <c r="H57" s="39" t="s">
        <v>508</v>
      </c>
    </row>
    <row r="58" spans="1:8" ht="31.5" x14ac:dyDescent="0.25">
      <c r="A58" s="433"/>
      <c r="B58" s="467"/>
      <c r="C58" s="39" t="s">
        <v>265</v>
      </c>
      <c r="D58" s="409"/>
      <c r="E58" s="409"/>
      <c r="F58" s="83">
        <v>1057</v>
      </c>
      <c r="G58" s="100">
        <f t="shared" si="2"/>
        <v>1268.3999999999999</v>
      </c>
      <c r="H58" s="39"/>
    </row>
    <row r="59" spans="1:8" ht="31.5" x14ac:dyDescent="0.25">
      <c r="A59" s="433"/>
      <c r="B59" s="467"/>
      <c r="C59" s="134" t="s">
        <v>509</v>
      </c>
      <c r="D59" s="257" t="s">
        <v>85</v>
      </c>
      <c r="E59" s="266" t="s">
        <v>13</v>
      </c>
      <c r="F59" s="83">
        <v>1739</v>
      </c>
      <c r="G59" s="100">
        <f t="shared" si="2"/>
        <v>2086.7999999999997</v>
      </c>
      <c r="H59" s="224"/>
    </row>
    <row r="60" spans="1:8" ht="31.5" x14ac:dyDescent="0.25">
      <c r="A60" s="434"/>
      <c r="B60" s="535"/>
      <c r="C60" s="39" t="s">
        <v>700</v>
      </c>
      <c r="D60" s="257"/>
      <c r="E60" s="266"/>
      <c r="F60" s="83">
        <v>1128</v>
      </c>
      <c r="G60" s="100">
        <f t="shared" si="2"/>
        <v>1353.6</v>
      </c>
      <c r="H60" s="224"/>
    </row>
    <row r="61" spans="1:8" ht="15.75" x14ac:dyDescent="0.25">
      <c r="A61" s="432">
        <v>10</v>
      </c>
      <c r="B61" s="307" t="s">
        <v>87</v>
      </c>
      <c r="C61" s="262" t="s">
        <v>88</v>
      </c>
      <c r="D61" s="262"/>
      <c r="E61" s="262"/>
      <c r="F61" s="262"/>
      <c r="G61" s="262"/>
      <c r="H61" s="408"/>
    </row>
    <row r="62" spans="1:8" ht="110.25" customHeight="1" x14ac:dyDescent="0.25">
      <c r="A62" s="540"/>
      <c r="B62" s="308"/>
      <c r="C62" s="402" t="s">
        <v>475</v>
      </c>
      <c r="D62" s="401" t="s">
        <v>89</v>
      </c>
      <c r="E62" s="44" t="s">
        <v>12</v>
      </c>
      <c r="F62" s="83">
        <v>387</v>
      </c>
      <c r="G62" s="100">
        <f t="shared" ref="G62:G63" si="3">F62*1.2</f>
        <v>464.4</v>
      </c>
      <c r="H62" s="293" t="s">
        <v>510</v>
      </c>
    </row>
    <row r="63" spans="1:8" ht="115.5" customHeight="1" x14ac:dyDescent="0.25">
      <c r="A63" s="541"/>
      <c r="B63" s="309"/>
      <c r="C63" s="402"/>
      <c r="D63" s="409"/>
      <c r="E63" s="44" t="s">
        <v>13</v>
      </c>
      <c r="F63" s="83">
        <v>511</v>
      </c>
      <c r="G63" s="100">
        <f t="shared" si="3"/>
        <v>613.19999999999993</v>
      </c>
      <c r="H63" s="293"/>
    </row>
    <row r="64" spans="1:8" ht="15.75" x14ac:dyDescent="0.25">
      <c r="A64" s="452">
        <v>11</v>
      </c>
      <c r="B64" s="546" t="s">
        <v>274</v>
      </c>
      <c r="C64" s="289" t="s">
        <v>275</v>
      </c>
      <c r="D64" s="289"/>
      <c r="E64" s="289"/>
      <c r="F64" s="289"/>
      <c r="G64" s="289"/>
      <c r="H64" s="289"/>
    </row>
    <row r="65" spans="1:8" ht="47.25" x14ac:dyDescent="0.25">
      <c r="A65" s="459"/>
      <c r="B65" s="547"/>
      <c r="C65" s="222" t="s">
        <v>275</v>
      </c>
      <c r="D65" s="14" t="s">
        <v>511</v>
      </c>
      <c r="E65" s="14" t="s">
        <v>56</v>
      </c>
      <c r="F65" s="83">
        <v>399</v>
      </c>
      <c r="G65" s="100">
        <f>F65*1.2</f>
        <v>478.79999999999995</v>
      </c>
      <c r="H65" s="2" t="s">
        <v>512</v>
      </c>
    </row>
    <row r="66" spans="1:8" ht="15.75" x14ac:dyDescent="0.25">
      <c r="A66" s="548">
        <v>12</v>
      </c>
      <c r="B66" s="391" t="s">
        <v>44</v>
      </c>
      <c r="C66" s="279" t="s">
        <v>157</v>
      </c>
      <c r="D66" s="279"/>
      <c r="E66" s="279"/>
      <c r="F66" s="279"/>
      <c r="G66" s="279"/>
      <c r="H66" s="279"/>
    </row>
    <row r="67" spans="1:8" ht="31.5" x14ac:dyDescent="0.25">
      <c r="A67" s="549"/>
      <c r="B67" s="392"/>
      <c r="C67" s="54" t="s">
        <v>158</v>
      </c>
      <c r="D67" s="54" t="s">
        <v>45</v>
      </c>
      <c r="E67" s="20" t="s">
        <v>56</v>
      </c>
      <c r="F67" s="83">
        <v>631</v>
      </c>
      <c r="G67" s="100">
        <f>F67*1.2</f>
        <v>757.19999999999993</v>
      </c>
      <c r="H67" s="205" t="s">
        <v>513</v>
      </c>
    </row>
    <row r="68" spans="1:8" ht="15.75" x14ac:dyDescent="0.25">
      <c r="A68" s="311">
        <v>13</v>
      </c>
      <c r="B68" s="307" t="s">
        <v>175</v>
      </c>
      <c r="C68" s="289" t="s">
        <v>94</v>
      </c>
      <c r="D68" s="289"/>
      <c r="E68" s="289"/>
      <c r="F68" s="289"/>
      <c r="G68" s="289"/>
      <c r="H68" s="289"/>
    </row>
    <row r="69" spans="1:8" ht="31.5" x14ac:dyDescent="0.25">
      <c r="A69" s="312"/>
      <c r="B69" s="308"/>
      <c r="C69" s="260" t="s">
        <v>514</v>
      </c>
      <c r="D69" s="261" t="s">
        <v>3</v>
      </c>
      <c r="E69" s="266"/>
      <c r="F69" s="83">
        <v>375</v>
      </c>
      <c r="G69" s="100">
        <f>F69*1.2</f>
        <v>450</v>
      </c>
      <c r="H69" s="134" t="s">
        <v>515</v>
      </c>
    </row>
    <row r="70" spans="1:8" ht="15.75" x14ac:dyDescent="0.25">
      <c r="A70" s="312"/>
      <c r="B70" s="308"/>
      <c r="C70" s="260"/>
      <c r="D70" s="261"/>
      <c r="E70" s="266"/>
      <c r="F70" s="266" t="s">
        <v>14</v>
      </c>
      <c r="G70" s="266"/>
      <c r="H70" s="162" t="s">
        <v>516</v>
      </c>
    </row>
    <row r="71" spans="1:8" ht="99.75" customHeight="1" x14ac:dyDescent="0.25">
      <c r="A71" s="313"/>
      <c r="B71" s="309"/>
      <c r="C71" s="260"/>
      <c r="D71" s="53" t="s">
        <v>3</v>
      </c>
      <c r="E71" s="53"/>
      <c r="F71" s="263" t="s">
        <v>92</v>
      </c>
      <c r="G71" s="263"/>
      <c r="H71" s="53" t="s">
        <v>93</v>
      </c>
    </row>
    <row r="72" spans="1:8" ht="15.75" x14ac:dyDescent="0.25">
      <c r="A72" s="258" t="s">
        <v>46</v>
      </c>
      <c r="B72" s="258"/>
      <c r="C72" s="264" t="s">
        <v>47</v>
      </c>
      <c r="D72" s="264"/>
      <c r="E72" s="264"/>
      <c r="F72" s="264"/>
      <c r="G72" s="264"/>
      <c r="H72" s="264"/>
    </row>
    <row r="73" spans="1:8" ht="31.5" x14ac:dyDescent="0.25">
      <c r="A73" s="503" t="s">
        <v>382</v>
      </c>
      <c r="B73" s="41" t="s">
        <v>493</v>
      </c>
      <c r="C73" s="47" t="s">
        <v>494</v>
      </c>
      <c r="D73" s="47" t="s">
        <v>11</v>
      </c>
      <c r="E73" s="155" t="s">
        <v>282</v>
      </c>
      <c r="F73" s="544" t="s">
        <v>14</v>
      </c>
      <c r="G73" s="545"/>
      <c r="H73" s="542"/>
    </row>
    <row r="74" spans="1:8" ht="31.5" x14ac:dyDescent="0.25">
      <c r="A74" s="18" t="s">
        <v>439</v>
      </c>
      <c r="B74" s="13" t="s">
        <v>306</v>
      </c>
      <c r="C74" s="2" t="s">
        <v>307</v>
      </c>
      <c r="D74" s="2" t="s">
        <v>11</v>
      </c>
      <c r="E74" s="134" t="s">
        <v>56</v>
      </c>
      <c r="F74" s="293" t="s">
        <v>14</v>
      </c>
      <c r="G74" s="293"/>
      <c r="H74" s="134" t="s">
        <v>95</v>
      </c>
    </row>
    <row r="75" spans="1:8" s="504" customFormat="1" ht="47.25" x14ac:dyDescent="0.25">
      <c r="A75" s="51">
        <v>16</v>
      </c>
      <c r="B75" s="41" t="s">
        <v>48</v>
      </c>
      <c r="C75" s="47" t="s">
        <v>49</v>
      </c>
      <c r="D75" s="48" t="s">
        <v>11</v>
      </c>
      <c r="E75" s="497" t="s">
        <v>56</v>
      </c>
      <c r="F75" s="544" t="s">
        <v>14</v>
      </c>
      <c r="G75" s="545"/>
      <c r="H75" s="543"/>
    </row>
    <row r="76" spans="1:8" ht="36.75" customHeight="1" x14ac:dyDescent="0.25">
      <c r="A76" s="15">
        <v>17</v>
      </c>
      <c r="B76" s="13" t="s">
        <v>183</v>
      </c>
      <c r="C76" s="2" t="s">
        <v>184</v>
      </c>
      <c r="D76" s="14" t="s">
        <v>2</v>
      </c>
      <c r="E76" s="17"/>
      <c r="F76" s="259" t="s">
        <v>14</v>
      </c>
      <c r="G76" s="259"/>
      <c r="H76" s="224"/>
    </row>
    <row r="77" spans="1:8" ht="31.5" x14ac:dyDescent="0.25">
      <c r="A77" s="15">
        <v>18</v>
      </c>
      <c r="B77" s="13" t="s">
        <v>309</v>
      </c>
      <c r="C77" s="2" t="s">
        <v>310</v>
      </c>
      <c r="D77" s="14" t="s">
        <v>3</v>
      </c>
      <c r="E77" s="17"/>
      <c r="F77" s="100">
        <v>5699</v>
      </c>
      <c r="G77" s="100">
        <f>F77*1.2</f>
        <v>6838.8</v>
      </c>
      <c r="H77" s="134" t="s">
        <v>517</v>
      </c>
    </row>
    <row r="78" spans="1:8" ht="15.75" x14ac:dyDescent="0.25">
      <c r="A78" s="311">
        <v>19</v>
      </c>
      <c r="B78" s="307" t="s">
        <v>313</v>
      </c>
      <c r="C78" s="264" t="s">
        <v>186</v>
      </c>
      <c r="D78" s="264"/>
      <c r="E78" s="264"/>
      <c r="F78" s="264"/>
      <c r="G78" s="264"/>
      <c r="H78" s="264"/>
    </row>
    <row r="79" spans="1:8" ht="47.25" x14ac:dyDescent="0.25">
      <c r="A79" s="313"/>
      <c r="B79" s="309"/>
      <c r="C79" s="2" t="s">
        <v>51</v>
      </c>
      <c r="D79" s="14" t="s">
        <v>63</v>
      </c>
      <c r="E79" s="17" t="s">
        <v>698</v>
      </c>
      <c r="F79" s="78">
        <v>212</v>
      </c>
      <c r="G79" s="100">
        <f>F79*1.2</f>
        <v>254.39999999999998</v>
      </c>
      <c r="H79" s="134" t="s">
        <v>188</v>
      </c>
    </row>
    <row r="80" spans="1:8" ht="47.25" x14ac:dyDescent="0.25">
      <c r="A80" s="15">
        <v>20</v>
      </c>
      <c r="B80" s="52" t="s">
        <v>316</v>
      </c>
      <c r="C80" s="53" t="s">
        <v>59</v>
      </c>
      <c r="D80" s="54" t="s">
        <v>3</v>
      </c>
      <c r="E80" s="20" t="s">
        <v>56</v>
      </c>
      <c r="F80" s="78">
        <v>2181.91</v>
      </c>
      <c r="G80" s="100">
        <f>F80*1.2</f>
        <v>2618.2919999999999</v>
      </c>
      <c r="H80" s="134"/>
    </row>
    <row r="81" spans="1:8" ht="15.75" x14ac:dyDescent="0.25">
      <c r="A81" s="56"/>
      <c r="B81" s="56"/>
      <c r="C81" s="56"/>
      <c r="D81" s="56"/>
      <c r="E81" s="56"/>
      <c r="F81" s="56"/>
      <c r="G81" s="57"/>
      <c r="H81" s="58"/>
    </row>
    <row r="82" spans="1:8" ht="15.75" x14ac:dyDescent="0.25">
      <c r="A82" s="94" t="s">
        <v>65</v>
      </c>
      <c r="B82" s="94"/>
      <c r="C82" s="94"/>
      <c r="D82" s="62"/>
      <c r="E82" s="62"/>
      <c r="F82" s="56"/>
      <c r="G82" s="57"/>
      <c r="H82" s="58"/>
    </row>
    <row r="83" spans="1:8" ht="15.75" x14ac:dyDescent="0.25">
      <c r="A83" s="94"/>
      <c r="B83" s="94"/>
      <c r="C83" s="94"/>
      <c r="D83" s="111"/>
      <c r="E83" s="62"/>
      <c r="F83" s="112"/>
      <c r="G83" s="113"/>
      <c r="H83" s="114"/>
    </row>
    <row r="84" spans="1:8" ht="15.75" x14ac:dyDescent="0.25">
      <c r="A84" s="404" t="s">
        <v>518</v>
      </c>
      <c r="B84" s="404"/>
      <c r="C84" s="405"/>
      <c r="D84" s="406"/>
      <c r="E84" s="115" t="s">
        <v>333</v>
      </c>
      <c r="F84" s="112"/>
      <c r="G84" s="113"/>
      <c r="H84" s="114"/>
    </row>
    <row r="85" spans="1:8" ht="15.75" x14ac:dyDescent="0.25">
      <c r="A85" s="94"/>
      <c r="B85" s="94"/>
      <c r="C85" s="94"/>
      <c r="D85" s="111"/>
      <c r="E85" s="62"/>
      <c r="F85" s="112"/>
      <c r="G85" s="113"/>
      <c r="H85" s="114"/>
    </row>
    <row r="86" spans="1:8" ht="15.75" x14ac:dyDescent="0.25">
      <c r="A86" s="94" t="s">
        <v>66</v>
      </c>
      <c r="B86" s="94"/>
      <c r="C86" s="94"/>
      <c r="D86" s="111"/>
      <c r="E86" s="115" t="s">
        <v>334</v>
      </c>
      <c r="F86" s="116"/>
      <c r="G86" s="117"/>
      <c r="H86" s="118"/>
    </row>
    <row r="87" spans="1:8" ht="15.75" x14ac:dyDescent="0.25">
      <c r="A87" s="94"/>
      <c r="B87" s="94"/>
      <c r="C87" s="94"/>
      <c r="D87" s="111"/>
      <c r="E87" s="62"/>
      <c r="F87" s="116"/>
      <c r="G87" s="117"/>
      <c r="H87" s="118"/>
    </row>
    <row r="88" spans="1:8" ht="15.75" x14ac:dyDescent="0.25">
      <c r="A88" s="94" t="s">
        <v>68</v>
      </c>
      <c r="B88" s="94"/>
      <c r="C88" s="94"/>
      <c r="D88" s="111"/>
      <c r="E88" s="115" t="s">
        <v>335</v>
      </c>
      <c r="F88" s="59"/>
      <c r="G88" s="60"/>
      <c r="H88" s="61"/>
    </row>
    <row r="89" spans="1:8" ht="15.75" x14ac:dyDescent="0.25">
      <c r="A89" s="94"/>
      <c r="B89" s="94"/>
      <c r="C89" s="94"/>
      <c r="D89" s="56"/>
      <c r="E89" s="56"/>
      <c r="F89" s="56"/>
      <c r="G89" s="57"/>
      <c r="H89" s="58"/>
    </row>
    <row r="90" spans="1:8" ht="15.75" x14ac:dyDescent="0.25">
      <c r="A90" s="94" t="s">
        <v>519</v>
      </c>
      <c r="B90" s="94"/>
      <c r="C90" s="94"/>
      <c r="D90" s="86"/>
      <c r="E90" s="407" t="s">
        <v>699</v>
      </c>
      <c r="F90" s="406"/>
      <c r="G90" s="117"/>
      <c r="H90" s="118"/>
    </row>
  </sheetData>
  <mergeCells count="125">
    <mergeCell ref="F75:G75"/>
    <mergeCell ref="F73:G73"/>
    <mergeCell ref="C64:H64"/>
    <mergeCell ref="B64:B65"/>
    <mergeCell ref="A64:A65"/>
    <mergeCell ref="C66:H66"/>
    <mergeCell ref="B66:B67"/>
    <mergeCell ref="A66:A67"/>
    <mergeCell ref="C68:H68"/>
    <mergeCell ref="B68:B71"/>
    <mergeCell ref="A68:A71"/>
    <mergeCell ref="G1:H1"/>
    <mergeCell ref="G2:H2"/>
    <mergeCell ref="G3:H3"/>
    <mergeCell ref="G4:H4"/>
    <mergeCell ref="G5:H5"/>
    <mergeCell ref="A7:H7"/>
    <mergeCell ref="B24:B32"/>
    <mergeCell ref="B55:B60"/>
    <mergeCell ref="B61:B63"/>
    <mergeCell ref="A15:A17"/>
    <mergeCell ref="B15:B17"/>
    <mergeCell ref="C15:C17"/>
    <mergeCell ref="D15:D16"/>
    <mergeCell ref="F15:G15"/>
    <mergeCell ref="H15:H17"/>
    <mergeCell ref="F16:G16"/>
    <mergeCell ref="F17:G17"/>
    <mergeCell ref="A8:H8"/>
    <mergeCell ref="A9:H9"/>
    <mergeCell ref="A10:H10"/>
    <mergeCell ref="A11:H11"/>
    <mergeCell ref="A13:H13"/>
    <mergeCell ref="A14:B14"/>
    <mergeCell ref="C14:H14"/>
    <mergeCell ref="A21:A23"/>
    <mergeCell ref="B21:B23"/>
    <mergeCell ref="C21:C23"/>
    <mergeCell ref="D21:D22"/>
    <mergeCell ref="F21:G21"/>
    <mergeCell ref="H21:H23"/>
    <mergeCell ref="F22:G22"/>
    <mergeCell ref="F23:G23"/>
    <mergeCell ref="A18:A20"/>
    <mergeCell ref="B18:B20"/>
    <mergeCell ref="C18:C20"/>
    <mergeCell ref="D18:D19"/>
    <mergeCell ref="F18:G18"/>
    <mergeCell ref="H18:H20"/>
    <mergeCell ref="F19:G19"/>
    <mergeCell ref="F20:G20"/>
    <mergeCell ref="A33:A35"/>
    <mergeCell ref="B33:B35"/>
    <mergeCell ref="C33:C35"/>
    <mergeCell ref="D33:D34"/>
    <mergeCell ref="F33:G33"/>
    <mergeCell ref="H33:H35"/>
    <mergeCell ref="F34:G34"/>
    <mergeCell ref="F35:G35"/>
    <mergeCell ref="A24:A32"/>
    <mergeCell ref="C24:H24"/>
    <mergeCell ref="C25:C27"/>
    <mergeCell ref="D25:D27"/>
    <mergeCell ref="C28:C30"/>
    <mergeCell ref="D28:D30"/>
    <mergeCell ref="C31:C32"/>
    <mergeCell ref="D31:D32"/>
    <mergeCell ref="A36:H36"/>
    <mergeCell ref="A37:B37"/>
    <mergeCell ref="C37:H37"/>
    <mergeCell ref="A38:A40"/>
    <mergeCell ref="B38:B40"/>
    <mergeCell ref="C38:C40"/>
    <mergeCell ref="D38:D39"/>
    <mergeCell ref="F38:G38"/>
    <mergeCell ref="H38:H40"/>
    <mergeCell ref="F39:G39"/>
    <mergeCell ref="F40:G40"/>
    <mergeCell ref="A41:A50"/>
    <mergeCell ref="B41:B50"/>
    <mergeCell ref="C41:C50"/>
    <mergeCell ref="F41:G41"/>
    <mergeCell ref="H41:H42"/>
    <mergeCell ref="F42:G42"/>
    <mergeCell ref="D43:D45"/>
    <mergeCell ref="E43:E45"/>
    <mergeCell ref="D46:D48"/>
    <mergeCell ref="F51:G51"/>
    <mergeCell ref="H51:H53"/>
    <mergeCell ref="F52:G52"/>
    <mergeCell ref="F53:G53"/>
    <mergeCell ref="A54:B54"/>
    <mergeCell ref="C54:H54"/>
    <mergeCell ref="E46:E48"/>
    <mergeCell ref="D49:D50"/>
    <mergeCell ref="A51:A53"/>
    <mergeCell ref="B51:B53"/>
    <mergeCell ref="C51:C53"/>
    <mergeCell ref="D51:D52"/>
    <mergeCell ref="A61:A63"/>
    <mergeCell ref="C61:H61"/>
    <mergeCell ref="C62:C63"/>
    <mergeCell ref="D62:D63"/>
    <mergeCell ref="H62:H63"/>
    <mergeCell ref="A55:A60"/>
    <mergeCell ref="C55:H55"/>
    <mergeCell ref="C56:C57"/>
    <mergeCell ref="D56:D58"/>
    <mergeCell ref="E56:E58"/>
    <mergeCell ref="D59:D60"/>
    <mergeCell ref="E59:E60"/>
    <mergeCell ref="A72:B72"/>
    <mergeCell ref="C72:H72"/>
    <mergeCell ref="C69:C71"/>
    <mergeCell ref="D69:D70"/>
    <mergeCell ref="E69:E70"/>
    <mergeCell ref="F70:G70"/>
    <mergeCell ref="F71:G71"/>
    <mergeCell ref="F76:G76"/>
    <mergeCell ref="A84:D84"/>
    <mergeCell ref="E90:F90"/>
    <mergeCell ref="F74:G74"/>
    <mergeCell ref="C78:H78"/>
    <mergeCell ref="B78:B79"/>
    <mergeCell ref="A78:A7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8"/>
  <sheetViews>
    <sheetView zoomScale="80" zoomScaleNormal="80" workbookViewId="0"/>
  </sheetViews>
  <sheetFormatPr defaultRowHeight="15.75" x14ac:dyDescent="0.25"/>
  <cols>
    <col min="1" max="1" width="6.5703125" style="524" customWidth="1"/>
    <col min="2" max="2" width="12.28515625" style="108" customWidth="1"/>
    <col min="3" max="3" width="48.140625" style="108" customWidth="1"/>
    <col min="4" max="4" width="15.140625" style="108" customWidth="1"/>
    <col min="5" max="5" width="19" style="108" customWidth="1"/>
    <col min="6" max="6" width="18.140625" style="108" customWidth="1"/>
    <col min="7" max="7" width="18.85546875" style="108" customWidth="1"/>
    <col min="8" max="8" width="58.140625" style="108" customWidth="1"/>
    <col min="9" max="16384" width="9.140625" style="108"/>
  </cols>
  <sheetData>
    <row r="1" spans="1:8" x14ac:dyDescent="0.25">
      <c r="A1" s="225"/>
      <c r="B1" s="225"/>
      <c r="C1" s="225"/>
      <c r="D1" s="225"/>
      <c r="E1" s="225"/>
      <c r="F1" s="225"/>
      <c r="G1" s="226"/>
      <c r="H1" s="227" t="s">
        <v>0</v>
      </c>
    </row>
    <row r="2" spans="1:8" x14ac:dyDescent="0.25">
      <c r="A2" s="225"/>
      <c r="B2" s="225"/>
      <c r="C2" s="225"/>
      <c r="D2" s="225"/>
      <c r="E2" s="225"/>
      <c r="F2" s="225"/>
      <c r="G2" s="228"/>
      <c r="H2" s="229" t="s">
        <v>62</v>
      </c>
    </row>
    <row r="3" spans="1:8" x14ac:dyDescent="0.25">
      <c r="A3" s="225"/>
      <c r="B3" s="225"/>
      <c r="C3" s="225"/>
      <c r="D3" s="225"/>
      <c r="E3" s="225"/>
      <c r="F3" s="225"/>
      <c r="G3" s="230"/>
      <c r="H3" s="231" t="s">
        <v>1</v>
      </c>
    </row>
    <row r="4" spans="1:8" x14ac:dyDescent="0.25">
      <c r="A4" s="232"/>
      <c r="B4" s="233"/>
      <c r="C4" s="233"/>
      <c r="D4" s="234"/>
      <c r="E4" s="234"/>
      <c r="F4" s="234"/>
      <c r="G4" s="235"/>
      <c r="H4" s="236"/>
    </row>
    <row r="5" spans="1:8" x14ac:dyDescent="0.25">
      <c r="A5" s="232"/>
      <c r="B5" s="233"/>
      <c r="C5" s="233"/>
      <c r="D5" s="234"/>
      <c r="E5" s="234"/>
      <c r="F5" s="237"/>
      <c r="G5" s="238"/>
      <c r="H5" s="239" t="s">
        <v>718</v>
      </c>
    </row>
    <row r="6" spans="1:8" x14ac:dyDescent="0.25">
      <c r="A6" s="232"/>
      <c r="B6" s="233"/>
      <c r="C6" s="233"/>
      <c r="D6" s="234"/>
      <c r="E6" s="234"/>
      <c r="F6" s="240"/>
      <c r="G6" s="213"/>
      <c r="H6" s="214"/>
    </row>
    <row r="7" spans="1:8" x14ac:dyDescent="0.25">
      <c r="A7" s="430" t="s">
        <v>10</v>
      </c>
      <c r="B7" s="430"/>
      <c r="C7" s="430"/>
      <c r="D7" s="430"/>
      <c r="E7" s="430"/>
      <c r="F7" s="430"/>
      <c r="G7" s="430"/>
      <c r="H7" s="430"/>
    </row>
    <row r="8" spans="1:8" x14ac:dyDescent="0.25">
      <c r="A8" s="430" t="s">
        <v>521</v>
      </c>
      <c r="B8" s="430"/>
      <c r="C8" s="430"/>
      <c r="D8" s="430"/>
      <c r="E8" s="430"/>
      <c r="F8" s="430"/>
      <c r="G8" s="430"/>
      <c r="H8" s="430"/>
    </row>
    <row r="9" spans="1:8" x14ac:dyDescent="0.25">
      <c r="A9" s="430" t="s">
        <v>522</v>
      </c>
      <c r="B9" s="430"/>
      <c r="C9" s="430"/>
      <c r="D9" s="430"/>
      <c r="E9" s="430"/>
      <c r="F9" s="430"/>
      <c r="G9" s="430"/>
      <c r="H9" s="430"/>
    </row>
    <row r="10" spans="1:8" x14ac:dyDescent="0.25">
      <c r="A10" s="270" t="s">
        <v>370</v>
      </c>
      <c r="B10" s="270"/>
      <c r="C10" s="270"/>
      <c r="D10" s="270"/>
      <c r="E10" s="270"/>
      <c r="F10" s="270"/>
      <c r="G10" s="270"/>
      <c r="H10" s="270"/>
    </row>
    <row r="11" spans="1:8" x14ac:dyDescent="0.25">
      <c r="A11" s="558"/>
      <c r="B11" s="241"/>
      <c r="C11" s="241"/>
      <c r="D11" s="241"/>
      <c r="E11" s="241"/>
      <c r="F11" s="241"/>
      <c r="G11" s="241"/>
      <c r="H11" s="241"/>
    </row>
    <row r="12" spans="1:8" ht="47.25" x14ac:dyDescent="0.25">
      <c r="A12" s="242" t="s">
        <v>4</v>
      </c>
      <c r="B12" s="242" t="s">
        <v>7</v>
      </c>
      <c r="C12" s="242" t="s">
        <v>5</v>
      </c>
      <c r="D12" s="242" t="s">
        <v>6</v>
      </c>
      <c r="E12" s="242" t="s">
        <v>8</v>
      </c>
      <c r="F12" s="242" t="s">
        <v>200</v>
      </c>
      <c r="G12" s="243" t="s">
        <v>201</v>
      </c>
      <c r="H12" s="242" t="s">
        <v>9</v>
      </c>
    </row>
    <row r="13" spans="1:8" x14ac:dyDescent="0.25">
      <c r="A13" s="425" t="s">
        <v>19</v>
      </c>
      <c r="B13" s="425"/>
      <c r="C13" s="425"/>
      <c r="D13" s="425"/>
      <c r="E13" s="425"/>
      <c r="F13" s="425"/>
      <c r="G13" s="425"/>
      <c r="H13" s="425"/>
    </row>
    <row r="14" spans="1:8" x14ac:dyDescent="0.25">
      <c r="A14" s="416" t="s">
        <v>20</v>
      </c>
      <c r="B14" s="416"/>
      <c r="C14" s="425" t="s">
        <v>21</v>
      </c>
      <c r="D14" s="425"/>
      <c r="E14" s="425"/>
      <c r="F14" s="425"/>
      <c r="G14" s="425"/>
      <c r="H14" s="425"/>
    </row>
    <row r="15" spans="1:8" ht="36.75" customHeight="1" x14ac:dyDescent="0.25">
      <c r="A15" s="426" t="s">
        <v>15</v>
      </c>
      <c r="B15" s="416" t="s">
        <v>22</v>
      </c>
      <c r="C15" s="424" t="s">
        <v>57</v>
      </c>
      <c r="D15" s="426" t="s">
        <v>11</v>
      </c>
      <c r="E15" s="26" t="s">
        <v>12</v>
      </c>
      <c r="F15" s="426" t="s">
        <v>14</v>
      </c>
      <c r="G15" s="426"/>
      <c r="H15" s="426" t="s">
        <v>53</v>
      </c>
    </row>
    <row r="16" spans="1:8" ht="27.75" customHeight="1" x14ac:dyDescent="0.25">
      <c r="A16" s="426"/>
      <c r="B16" s="416"/>
      <c r="C16" s="424"/>
      <c r="D16" s="426"/>
      <c r="E16" s="26" t="s">
        <v>206</v>
      </c>
      <c r="F16" s="426" t="s">
        <v>14</v>
      </c>
      <c r="G16" s="426"/>
      <c r="H16" s="426"/>
    </row>
    <row r="17" spans="1:8" x14ac:dyDescent="0.25">
      <c r="A17" s="426"/>
      <c r="B17" s="416"/>
      <c r="C17" s="424"/>
      <c r="D17" s="210" t="s">
        <v>2</v>
      </c>
      <c r="E17" s="209"/>
      <c r="F17" s="426" t="s">
        <v>14</v>
      </c>
      <c r="G17" s="426"/>
      <c r="H17" s="426"/>
    </row>
    <row r="18" spans="1:8" ht="24" customHeight="1" x14ac:dyDescent="0.25">
      <c r="A18" s="426" t="s">
        <v>18</v>
      </c>
      <c r="B18" s="416" t="s">
        <v>23</v>
      </c>
      <c r="C18" s="424" t="s">
        <v>523</v>
      </c>
      <c r="D18" s="426" t="s">
        <v>11</v>
      </c>
      <c r="E18" s="26" t="s">
        <v>12</v>
      </c>
      <c r="F18" s="426" t="s">
        <v>14</v>
      </c>
      <c r="G18" s="426"/>
      <c r="H18" s="426" t="s">
        <v>52</v>
      </c>
    </row>
    <row r="19" spans="1:8" ht="31.5" x14ac:dyDescent="0.25">
      <c r="A19" s="426"/>
      <c r="B19" s="416"/>
      <c r="C19" s="424"/>
      <c r="D19" s="426"/>
      <c r="E19" s="26" t="s">
        <v>206</v>
      </c>
      <c r="F19" s="426" t="s">
        <v>14</v>
      </c>
      <c r="G19" s="426"/>
      <c r="H19" s="426"/>
    </row>
    <row r="20" spans="1:8" x14ac:dyDescent="0.25">
      <c r="A20" s="426"/>
      <c r="B20" s="416"/>
      <c r="C20" s="424"/>
      <c r="D20" s="210" t="s">
        <v>2</v>
      </c>
      <c r="E20" s="209"/>
      <c r="F20" s="426" t="s">
        <v>14</v>
      </c>
      <c r="G20" s="426"/>
      <c r="H20" s="426"/>
    </row>
    <row r="21" spans="1:8" x14ac:dyDescent="0.25">
      <c r="A21" s="426" t="s">
        <v>16</v>
      </c>
      <c r="B21" s="416" t="s">
        <v>24</v>
      </c>
      <c r="C21" s="424" t="s">
        <v>50</v>
      </c>
      <c r="D21" s="426" t="s">
        <v>11</v>
      </c>
      <c r="E21" s="26" t="s">
        <v>12</v>
      </c>
      <c r="F21" s="426" t="s">
        <v>14</v>
      </c>
      <c r="G21" s="426"/>
      <c r="H21" s="426" t="s">
        <v>52</v>
      </c>
    </row>
    <row r="22" spans="1:8" ht="31.5" x14ac:dyDescent="0.25">
      <c r="A22" s="426"/>
      <c r="B22" s="416"/>
      <c r="C22" s="424"/>
      <c r="D22" s="426"/>
      <c r="E22" s="26" t="s">
        <v>206</v>
      </c>
      <c r="F22" s="426" t="s">
        <v>14</v>
      </c>
      <c r="G22" s="426"/>
      <c r="H22" s="426"/>
    </row>
    <row r="23" spans="1:8" x14ac:dyDescent="0.25">
      <c r="A23" s="426"/>
      <c r="B23" s="416"/>
      <c r="C23" s="424"/>
      <c r="D23" s="210" t="s">
        <v>2</v>
      </c>
      <c r="E23" s="209"/>
      <c r="F23" s="426" t="s">
        <v>14</v>
      </c>
      <c r="G23" s="426"/>
      <c r="H23" s="426"/>
    </row>
    <row r="24" spans="1:8" x14ac:dyDescent="0.25">
      <c r="A24" s="426" t="s">
        <v>17</v>
      </c>
      <c r="B24" s="416" t="s">
        <v>210</v>
      </c>
      <c r="C24" s="416" t="s">
        <v>25</v>
      </c>
      <c r="D24" s="416"/>
      <c r="E24" s="416"/>
      <c r="F24" s="416"/>
      <c r="G24" s="416"/>
      <c r="H24" s="416"/>
    </row>
    <row r="25" spans="1:8" x14ac:dyDescent="0.25">
      <c r="A25" s="426"/>
      <c r="B25" s="416"/>
      <c r="C25" s="429" t="s">
        <v>524</v>
      </c>
      <c r="D25" s="21" t="s">
        <v>11</v>
      </c>
      <c r="E25" s="21" t="s">
        <v>12</v>
      </c>
      <c r="F25" s="78">
        <v>2453</v>
      </c>
      <c r="G25" s="78">
        <f>F25*1.2</f>
        <v>2943.6</v>
      </c>
      <c r="H25" s="555"/>
    </row>
    <row r="26" spans="1:8" x14ac:dyDescent="0.25">
      <c r="A26" s="426"/>
      <c r="B26" s="416"/>
      <c r="C26" s="429"/>
      <c r="D26" s="21" t="s">
        <v>11</v>
      </c>
      <c r="E26" s="21" t="s">
        <v>13</v>
      </c>
      <c r="F26" s="78">
        <v>5769</v>
      </c>
      <c r="G26" s="78">
        <f>F26*1.2</f>
        <v>6922.8</v>
      </c>
      <c r="H26" s="556"/>
    </row>
    <row r="27" spans="1:8" x14ac:dyDescent="0.25">
      <c r="A27" s="426"/>
      <c r="B27" s="416"/>
      <c r="C27" s="426" t="s">
        <v>371</v>
      </c>
      <c r="D27" s="26" t="s">
        <v>11</v>
      </c>
      <c r="E27" s="26" t="s">
        <v>12</v>
      </c>
      <c r="F27" s="78">
        <v>5213</v>
      </c>
      <c r="G27" s="78">
        <f t="shared" ref="G27:G47" si="0">F27*1.2</f>
        <v>6255.5999999999995</v>
      </c>
      <c r="H27" s="556"/>
    </row>
    <row r="28" spans="1:8" x14ac:dyDescent="0.25">
      <c r="A28" s="426"/>
      <c r="B28" s="416"/>
      <c r="C28" s="426"/>
      <c r="D28" s="26" t="s">
        <v>11</v>
      </c>
      <c r="E28" s="26" t="s">
        <v>13</v>
      </c>
      <c r="F28" s="78">
        <v>7928</v>
      </c>
      <c r="G28" s="78">
        <f t="shared" si="0"/>
        <v>9513.6</v>
      </c>
      <c r="H28" s="556"/>
    </row>
    <row r="29" spans="1:8" x14ac:dyDescent="0.25">
      <c r="A29" s="426"/>
      <c r="B29" s="416"/>
      <c r="C29" s="426"/>
      <c r="D29" s="26" t="s">
        <v>11</v>
      </c>
      <c r="E29" s="26" t="s">
        <v>12</v>
      </c>
      <c r="F29" s="78">
        <v>2657</v>
      </c>
      <c r="G29" s="78">
        <f t="shared" si="0"/>
        <v>3188.4</v>
      </c>
      <c r="H29" s="557"/>
    </row>
    <row r="30" spans="1:8" ht="31.5" x14ac:dyDescent="0.25">
      <c r="A30" s="426"/>
      <c r="B30" s="416"/>
      <c r="C30" s="426"/>
      <c r="D30" s="26" t="s">
        <v>11</v>
      </c>
      <c r="E30" s="26" t="s">
        <v>13</v>
      </c>
      <c r="F30" s="78">
        <v>2875</v>
      </c>
      <c r="G30" s="78">
        <f t="shared" si="0"/>
        <v>3450</v>
      </c>
      <c r="H30" s="244" t="s">
        <v>715</v>
      </c>
    </row>
    <row r="31" spans="1:8" x14ac:dyDescent="0.25">
      <c r="A31" s="426"/>
      <c r="B31" s="416"/>
      <c r="C31" s="426" t="s">
        <v>372</v>
      </c>
      <c r="D31" s="26" t="s">
        <v>11</v>
      </c>
      <c r="E31" s="26" t="s">
        <v>12</v>
      </c>
      <c r="F31" s="78">
        <v>6598</v>
      </c>
      <c r="G31" s="78">
        <f t="shared" si="0"/>
        <v>7917.5999999999995</v>
      </c>
      <c r="H31" s="424" t="s">
        <v>719</v>
      </c>
    </row>
    <row r="32" spans="1:8" x14ac:dyDescent="0.25">
      <c r="A32" s="426"/>
      <c r="B32" s="416"/>
      <c r="C32" s="426"/>
      <c r="D32" s="26" t="s">
        <v>11</v>
      </c>
      <c r="E32" s="26" t="s">
        <v>13</v>
      </c>
      <c r="F32" s="78">
        <v>8961</v>
      </c>
      <c r="G32" s="78">
        <f t="shared" si="0"/>
        <v>10753.199999999999</v>
      </c>
      <c r="H32" s="424"/>
    </row>
    <row r="33" spans="1:8" x14ac:dyDescent="0.25">
      <c r="A33" s="426"/>
      <c r="B33" s="416"/>
      <c r="C33" s="426" t="s">
        <v>373</v>
      </c>
      <c r="D33" s="26" t="s">
        <v>11</v>
      </c>
      <c r="E33" s="26" t="s">
        <v>12</v>
      </c>
      <c r="F33" s="78">
        <v>7252</v>
      </c>
      <c r="G33" s="78">
        <f t="shared" si="0"/>
        <v>8702.4</v>
      </c>
      <c r="H33" s="424"/>
    </row>
    <row r="34" spans="1:8" x14ac:dyDescent="0.25">
      <c r="A34" s="426"/>
      <c r="B34" s="416"/>
      <c r="C34" s="426"/>
      <c r="D34" s="26" t="s">
        <v>11</v>
      </c>
      <c r="E34" s="26" t="s">
        <v>13</v>
      </c>
      <c r="F34" s="78">
        <v>10360</v>
      </c>
      <c r="G34" s="78">
        <f t="shared" si="0"/>
        <v>12432</v>
      </c>
      <c r="H34" s="424"/>
    </row>
    <row r="35" spans="1:8" x14ac:dyDescent="0.25">
      <c r="A35" s="426"/>
      <c r="B35" s="416"/>
      <c r="C35" s="426" t="s">
        <v>374</v>
      </c>
      <c r="D35" s="26" t="s">
        <v>11</v>
      </c>
      <c r="E35" s="26" t="s">
        <v>12</v>
      </c>
      <c r="F35" s="78">
        <v>7848</v>
      </c>
      <c r="G35" s="78">
        <f t="shared" si="0"/>
        <v>9417.6</v>
      </c>
      <c r="H35" s="424"/>
    </row>
    <row r="36" spans="1:8" x14ac:dyDescent="0.25">
      <c r="A36" s="426"/>
      <c r="B36" s="416"/>
      <c r="C36" s="426"/>
      <c r="D36" s="26" t="s">
        <v>11</v>
      </c>
      <c r="E36" s="26" t="s">
        <v>13</v>
      </c>
      <c r="F36" s="78">
        <v>10986</v>
      </c>
      <c r="G36" s="78">
        <f t="shared" si="0"/>
        <v>13183.199999999999</v>
      </c>
      <c r="H36" s="424"/>
    </row>
    <row r="37" spans="1:8" x14ac:dyDescent="0.25">
      <c r="A37" s="426"/>
      <c r="B37" s="416"/>
      <c r="C37" s="426" t="s">
        <v>525</v>
      </c>
      <c r="D37" s="26" t="s">
        <v>11</v>
      </c>
      <c r="E37" s="26" t="s">
        <v>12</v>
      </c>
      <c r="F37" s="78">
        <v>8473</v>
      </c>
      <c r="G37" s="78">
        <f t="shared" si="0"/>
        <v>10167.6</v>
      </c>
      <c r="H37" s="424"/>
    </row>
    <row r="38" spans="1:8" x14ac:dyDescent="0.25">
      <c r="A38" s="426"/>
      <c r="B38" s="416"/>
      <c r="C38" s="426"/>
      <c r="D38" s="26" t="s">
        <v>11</v>
      </c>
      <c r="E38" s="26" t="s">
        <v>13</v>
      </c>
      <c r="F38" s="78">
        <v>11461</v>
      </c>
      <c r="G38" s="78">
        <f t="shared" si="0"/>
        <v>13753.199999999999</v>
      </c>
      <c r="H38" s="424"/>
    </row>
    <row r="39" spans="1:8" x14ac:dyDescent="0.25">
      <c r="A39" s="426"/>
      <c r="B39" s="416"/>
      <c r="C39" s="426" t="s">
        <v>526</v>
      </c>
      <c r="D39" s="26" t="s">
        <v>11</v>
      </c>
      <c r="E39" s="26" t="s">
        <v>12</v>
      </c>
      <c r="F39" s="78">
        <v>8744</v>
      </c>
      <c r="G39" s="78">
        <f t="shared" si="0"/>
        <v>10492.8</v>
      </c>
      <c r="H39" s="424"/>
    </row>
    <row r="40" spans="1:8" x14ac:dyDescent="0.25">
      <c r="A40" s="426"/>
      <c r="B40" s="416"/>
      <c r="C40" s="426"/>
      <c r="D40" s="26" t="s">
        <v>11</v>
      </c>
      <c r="E40" s="26" t="s">
        <v>13</v>
      </c>
      <c r="F40" s="78">
        <v>11746</v>
      </c>
      <c r="G40" s="78">
        <f t="shared" si="0"/>
        <v>14095.199999999999</v>
      </c>
      <c r="H40" s="424"/>
    </row>
    <row r="41" spans="1:8" x14ac:dyDescent="0.25">
      <c r="A41" s="426"/>
      <c r="B41" s="416"/>
      <c r="C41" s="426" t="s">
        <v>527</v>
      </c>
      <c r="D41" s="26" t="s">
        <v>11</v>
      </c>
      <c r="E41" s="26" t="s">
        <v>12</v>
      </c>
      <c r="F41" s="78">
        <v>8883</v>
      </c>
      <c r="G41" s="78">
        <f t="shared" si="0"/>
        <v>10659.6</v>
      </c>
      <c r="H41" s="424"/>
    </row>
    <row r="42" spans="1:8" x14ac:dyDescent="0.25">
      <c r="A42" s="426"/>
      <c r="B42" s="416"/>
      <c r="C42" s="426"/>
      <c r="D42" s="26" t="s">
        <v>11</v>
      </c>
      <c r="E42" s="26" t="s">
        <v>13</v>
      </c>
      <c r="F42" s="78">
        <v>12274</v>
      </c>
      <c r="G42" s="78">
        <f t="shared" si="0"/>
        <v>14728.8</v>
      </c>
      <c r="H42" s="424"/>
    </row>
    <row r="43" spans="1:8" x14ac:dyDescent="0.25">
      <c r="A43" s="426"/>
      <c r="B43" s="416"/>
      <c r="C43" s="426" t="s">
        <v>528</v>
      </c>
      <c r="D43" s="26" t="s">
        <v>11</v>
      </c>
      <c r="E43" s="26" t="s">
        <v>12</v>
      </c>
      <c r="F43" s="78">
        <v>9885</v>
      </c>
      <c r="G43" s="78">
        <f t="shared" si="0"/>
        <v>11862</v>
      </c>
      <c r="H43" s="424"/>
    </row>
    <row r="44" spans="1:8" x14ac:dyDescent="0.25">
      <c r="A44" s="426"/>
      <c r="B44" s="416"/>
      <c r="C44" s="426"/>
      <c r="D44" s="26" t="s">
        <v>11</v>
      </c>
      <c r="E44" s="26" t="s">
        <v>13</v>
      </c>
      <c r="F44" s="78">
        <v>12986</v>
      </c>
      <c r="G44" s="78">
        <f t="shared" si="0"/>
        <v>15583.199999999999</v>
      </c>
      <c r="H44" s="424"/>
    </row>
    <row r="45" spans="1:8" x14ac:dyDescent="0.25">
      <c r="A45" s="426"/>
      <c r="B45" s="416"/>
      <c r="C45" s="426" t="s">
        <v>529</v>
      </c>
      <c r="D45" s="26" t="s">
        <v>11</v>
      </c>
      <c r="E45" s="26" t="s">
        <v>12</v>
      </c>
      <c r="F45" s="78">
        <v>10373</v>
      </c>
      <c r="G45" s="78">
        <f t="shared" si="0"/>
        <v>12447.6</v>
      </c>
      <c r="H45" s="424"/>
    </row>
    <row r="46" spans="1:8" x14ac:dyDescent="0.25">
      <c r="A46" s="426"/>
      <c r="B46" s="416"/>
      <c r="C46" s="426"/>
      <c r="D46" s="26" t="s">
        <v>11</v>
      </c>
      <c r="E46" s="26" t="s">
        <v>13</v>
      </c>
      <c r="F46" s="78">
        <v>13416</v>
      </c>
      <c r="G46" s="78">
        <f t="shared" si="0"/>
        <v>16099.199999999999</v>
      </c>
      <c r="H46" s="424"/>
    </row>
    <row r="47" spans="1:8" x14ac:dyDescent="0.25">
      <c r="A47" s="426"/>
      <c r="B47" s="416"/>
      <c r="C47" s="426" t="s">
        <v>530</v>
      </c>
      <c r="D47" s="26" t="s">
        <v>11</v>
      </c>
      <c r="E47" s="26" t="s">
        <v>12</v>
      </c>
      <c r="F47" s="78">
        <v>11160</v>
      </c>
      <c r="G47" s="78">
        <f t="shared" si="0"/>
        <v>13392</v>
      </c>
      <c r="H47" s="424"/>
    </row>
    <row r="48" spans="1:8" x14ac:dyDescent="0.25">
      <c r="A48" s="426"/>
      <c r="B48" s="416"/>
      <c r="C48" s="426"/>
      <c r="D48" s="26" t="s">
        <v>11</v>
      </c>
      <c r="E48" s="26" t="s">
        <v>13</v>
      </c>
      <c r="F48" s="78">
        <v>15880</v>
      </c>
      <c r="G48" s="78">
        <f>F48*1.2</f>
        <v>19056</v>
      </c>
      <c r="H48" s="424"/>
    </row>
    <row r="49" spans="1:8" x14ac:dyDescent="0.25">
      <c r="A49" s="426"/>
      <c r="B49" s="416"/>
      <c r="C49" s="426" t="s">
        <v>531</v>
      </c>
      <c r="D49" s="26" t="s">
        <v>11</v>
      </c>
      <c r="E49" s="26" t="s">
        <v>12</v>
      </c>
      <c r="F49" s="78">
        <v>12615</v>
      </c>
      <c r="G49" s="78">
        <f>F49*1.2</f>
        <v>15138</v>
      </c>
      <c r="H49" s="424"/>
    </row>
    <row r="50" spans="1:8" x14ac:dyDescent="0.25">
      <c r="A50" s="426"/>
      <c r="B50" s="416"/>
      <c r="C50" s="426"/>
      <c r="D50" s="26" t="s">
        <v>11</v>
      </c>
      <c r="E50" s="26" t="s">
        <v>13</v>
      </c>
      <c r="F50" s="78">
        <v>17554</v>
      </c>
      <c r="G50" s="78">
        <f t="shared" ref="G50:G63" si="1">F50*1.2</f>
        <v>21064.799999999999</v>
      </c>
      <c r="H50" s="424"/>
    </row>
    <row r="51" spans="1:8" x14ac:dyDescent="0.25">
      <c r="A51" s="426"/>
      <c r="B51" s="416"/>
      <c r="C51" s="426" t="s">
        <v>532</v>
      </c>
      <c r="D51" s="26" t="s">
        <v>11</v>
      </c>
      <c r="E51" s="26" t="s">
        <v>12</v>
      </c>
      <c r="F51" s="78">
        <v>14071</v>
      </c>
      <c r="G51" s="78">
        <f t="shared" si="1"/>
        <v>16885.2</v>
      </c>
      <c r="H51" s="424"/>
    </row>
    <row r="52" spans="1:8" x14ac:dyDescent="0.25">
      <c r="A52" s="426"/>
      <c r="B52" s="416"/>
      <c r="C52" s="426"/>
      <c r="D52" s="26" t="s">
        <v>11</v>
      </c>
      <c r="E52" s="26" t="s">
        <v>13</v>
      </c>
      <c r="F52" s="78">
        <v>19235</v>
      </c>
      <c r="G52" s="78">
        <f t="shared" si="1"/>
        <v>23082</v>
      </c>
      <c r="H52" s="424"/>
    </row>
    <row r="53" spans="1:8" x14ac:dyDescent="0.25">
      <c r="A53" s="426"/>
      <c r="B53" s="416"/>
      <c r="C53" s="426" t="s">
        <v>533</v>
      </c>
      <c r="D53" s="26" t="s">
        <v>11</v>
      </c>
      <c r="E53" s="26" t="s">
        <v>12</v>
      </c>
      <c r="F53" s="78">
        <v>15527</v>
      </c>
      <c r="G53" s="78">
        <f t="shared" si="1"/>
        <v>18632.399999999998</v>
      </c>
      <c r="H53" s="424"/>
    </row>
    <row r="54" spans="1:8" x14ac:dyDescent="0.25">
      <c r="A54" s="426"/>
      <c r="B54" s="416"/>
      <c r="C54" s="426"/>
      <c r="D54" s="26" t="s">
        <v>11</v>
      </c>
      <c r="E54" s="26" t="s">
        <v>13</v>
      </c>
      <c r="F54" s="78">
        <v>20914</v>
      </c>
      <c r="G54" s="78">
        <f t="shared" si="1"/>
        <v>25096.799999999999</v>
      </c>
      <c r="H54" s="424"/>
    </row>
    <row r="55" spans="1:8" x14ac:dyDescent="0.25">
      <c r="A55" s="426"/>
      <c r="B55" s="416"/>
      <c r="C55" s="426" t="s">
        <v>534</v>
      </c>
      <c r="D55" s="26" t="s">
        <v>11</v>
      </c>
      <c r="E55" s="26" t="s">
        <v>12</v>
      </c>
      <c r="F55" s="78">
        <v>16984</v>
      </c>
      <c r="G55" s="78">
        <f t="shared" si="1"/>
        <v>20380.8</v>
      </c>
      <c r="H55" s="424"/>
    </row>
    <row r="56" spans="1:8" x14ac:dyDescent="0.25">
      <c r="A56" s="426"/>
      <c r="B56" s="416"/>
      <c r="C56" s="426"/>
      <c r="D56" s="26" t="s">
        <v>11</v>
      </c>
      <c r="E56" s="26" t="s">
        <v>13</v>
      </c>
      <c r="F56" s="78">
        <v>22589</v>
      </c>
      <c r="G56" s="78">
        <f t="shared" si="1"/>
        <v>27106.799999999999</v>
      </c>
      <c r="H56" s="424"/>
    </row>
    <row r="57" spans="1:8" x14ac:dyDescent="0.25">
      <c r="A57" s="426"/>
      <c r="B57" s="416"/>
      <c r="C57" s="426" t="s">
        <v>535</v>
      </c>
      <c r="D57" s="26" t="s">
        <v>11</v>
      </c>
      <c r="E57" s="26" t="s">
        <v>12</v>
      </c>
      <c r="F57" s="78">
        <v>18440</v>
      </c>
      <c r="G57" s="78">
        <f t="shared" si="1"/>
        <v>22128</v>
      </c>
      <c r="H57" s="424"/>
    </row>
    <row r="58" spans="1:8" x14ac:dyDescent="0.25">
      <c r="A58" s="426"/>
      <c r="B58" s="416"/>
      <c r="C58" s="426"/>
      <c r="D58" s="26" t="s">
        <v>11</v>
      </c>
      <c r="E58" s="26" t="s">
        <v>13</v>
      </c>
      <c r="F58" s="78">
        <v>24268</v>
      </c>
      <c r="G58" s="78">
        <f t="shared" si="1"/>
        <v>29121.599999999999</v>
      </c>
      <c r="H58" s="424"/>
    </row>
    <row r="59" spans="1:8" x14ac:dyDescent="0.25">
      <c r="A59" s="426"/>
      <c r="B59" s="416"/>
      <c r="C59" s="426" t="s">
        <v>536</v>
      </c>
      <c r="D59" s="26" t="s">
        <v>11</v>
      </c>
      <c r="E59" s="26" t="s">
        <v>12</v>
      </c>
      <c r="F59" s="78">
        <v>20298</v>
      </c>
      <c r="G59" s="78">
        <f t="shared" si="1"/>
        <v>24357.599999999999</v>
      </c>
      <c r="H59" s="424"/>
    </row>
    <row r="60" spans="1:8" x14ac:dyDescent="0.25">
      <c r="A60" s="426"/>
      <c r="B60" s="416"/>
      <c r="C60" s="426"/>
      <c r="D60" s="26" t="s">
        <v>11</v>
      </c>
      <c r="E60" s="26" t="s">
        <v>13</v>
      </c>
      <c r="F60" s="78">
        <v>26443</v>
      </c>
      <c r="G60" s="78">
        <f t="shared" si="1"/>
        <v>31731.599999999999</v>
      </c>
      <c r="H60" s="424"/>
    </row>
    <row r="61" spans="1:8" x14ac:dyDescent="0.25">
      <c r="A61" s="426"/>
      <c r="B61" s="416"/>
      <c r="C61" s="426" t="s">
        <v>537</v>
      </c>
      <c r="D61" s="26" t="s">
        <v>11</v>
      </c>
      <c r="E61" s="26" t="s">
        <v>12</v>
      </c>
      <c r="F61" s="78">
        <v>21755</v>
      </c>
      <c r="G61" s="78">
        <f t="shared" si="1"/>
        <v>26106</v>
      </c>
      <c r="H61" s="424"/>
    </row>
    <row r="62" spans="1:8" x14ac:dyDescent="0.25">
      <c r="A62" s="426"/>
      <c r="B62" s="416"/>
      <c r="C62" s="426"/>
      <c r="D62" s="26" t="s">
        <v>11</v>
      </c>
      <c r="E62" s="26" t="s">
        <v>13</v>
      </c>
      <c r="F62" s="78">
        <v>28120</v>
      </c>
      <c r="G62" s="78">
        <f t="shared" si="1"/>
        <v>33744</v>
      </c>
      <c r="H62" s="424"/>
    </row>
    <row r="63" spans="1:8" x14ac:dyDescent="0.25">
      <c r="A63" s="426"/>
      <c r="B63" s="416"/>
      <c r="C63" s="426" t="s">
        <v>538</v>
      </c>
      <c r="D63" s="26" t="s">
        <v>11</v>
      </c>
      <c r="E63" s="26" t="s">
        <v>12</v>
      </c>
      <c r="F63" s="78">
        <v>23207</v>
      </c>
      <c r="G63" s="78">
        <f t="shared" si="1"/>
        <v>27848.399999999998</v>
      </c>
      <c r="H63" s="424"/>
    </row>
    <row r="64" spans="1:8" x14ac:dyDescent="0.25">
      <c r="A64" s="426"/>
      <c r="B64" s="416"/>
      <c r="C64" s="426"/>
      <c r="D64" s="26" t="s">
        <v>11</v>
      </c>
      <c r="E64" s="26" t="s">
        <v>13</v>
      </c>
      <c r="F64" s="78">
        <v>29797</v>
      </c>
      <c r="G64" s="78">
        <f>F64*1.2</f>
        <v>35756.400000000001</v>
      </c>
      <c r="H64" s="424"/>
    </row>
    <row r="65" spans="1:8" x14ac:dyDescent="0.25">
      <c r="A65" s="426"/>
      <c r="B65" s="416"/>
      <c r="C65" s="426" t="s">
        <v>539</v>
      </c>
      <c r="D65" s="26" t="s">
        <v>11</v>
      </c>
      <c r="E65" s="26" t="s">
        <v>12</v>
      </c>
      <c r="F65" s="78">
        <v>24973</v>
      </c>
      <c r="G65" s="78">
        <f>F65*1.2</f>
        <v>29967.599999999999</v>
      </c>
      <c r="H65" s="424"/>
    </row>
    <row r="66" spans="1:8" x14ac:dyDescent="0.25">
      <c r="A66" s="426"/>
      <c r="B66" s="416"/>
      <c r="C66" s="426"/>
      <c r="D66" s="26" t="s">
        <v>11</v>
      </c>
      <c r="E66" s="26" t="s">
        <v>13</v>
      </c>
      <c r="F66" s="78">
        <v>30979</v>
      </c>
      <c r="G66" s="78">
        <f t="shared" ref="G66:G79" si="2">F66*1.2</f>
        <v>37174.799999999996</v>
      </c>
      <c r="H66" s="424"/>
    </row>
    <row r="67" spans="1:8" x14ac:dyDescent="0.25">
      <c r="A67" s="426"/>
      <c r="B67" s="416"/>
      <c r="C67" s="426" t="s">
        <v>540</v>
      </c>
      <c r="D67" s="26" t="s">
        <v>11</v>
      </c>
      <c r="E67" s="26" t="s">
        <v>12</v>
      </c>
      <c r="F67" s="78">
        <v>27978</v>
      </c>
      <c r="G67" s="78">
        <f t="shared" si="2"/>
        <v>33573.599999999999</v>
      </c>
      <c r="H67" s="424"/>
    </row>
    <row r="68" spans="1:8" x14ac:dyDescent="0.25">
      <c r="A68" s="426"/>
      <c r="B68" s="416"/>
      <c r="C68" s="426"/>
      <c r="D68" s="26" t="s">
        <v>11</v>
      </c>
      <c r="E68" s="26" t="s">
        <v>13</v>
      </c>
      <c r="F68" s="78">
        <v>35330</v>
      </c>
      <c r="G68" s="78">
        <f t="shared" si="2"/>
        <v>42396</v>
      </c>
      <c r="H68" s="424"/>
    </row>
    <row r="69" spans="1:8" x14ac:dyDescent="0.25">
      <c r="A69" s="426"/>
      <c r="B69" s="416"/>
      <c r="C69" s="426" t="s">
        <v>541</v>
      </c>
      <c r="D69" s="26" t="s">
        <v>11</v>
      </c>
      <c r="E69" s="26" t="s">
        <v>12</v>
      </c>
      <c r="F69" s="78">
        <v>31620</v>
      </c>
      <c r="G69" s="78">
        <f t="shared" si="2"/>
        <v>37944</v>
      </c>
      <c r="H69" s="424"/>
    </row>
    <row r="70" spans="1:8" x14ac:dyDescent="0.25">
      <c r="A70" s="426"/>
      <c r="B70" s="416"/>
      <c r="C70" s="426"/>
      <c r="D70" s="26" t="s">
        <v>11</v>
      </c>
      <c r="E70" s="26" t="s">
        <v>13</v>
      </c>
      <c r="F70" s="78">
        <v>39521</v>
      </c>
      <c r="G70" s="78">
        <f t="shared" si="2"/>
        <v>47425.2</v>
      </c>
      <c r="H70" s="424"/>
    </row>
    <row r="71" spans="1:8" x14ac:dyDescent="0.25">
      <c r="A71" s="426"/>
      <c r="B71" s="416"/>
      <c r="C71" s="426" t="s">
        <v>542</v>
      </c>
      <c r="D71" s="26" t="s">
        <v>11</v>
      </c>
      <c r="E71" s="26" t="s">
        <v>12</v>
      </c>
      <c r="F71" s="78">
        <v>35259</v>
      </c>
      <c r="G71" s="78">
        <f t="shared" si="2"/>
        <v>42310.799999999996</v>
      </c>
      <c r="H71" s="424"/>
    </row>
    <row r="72" spans="1:8" x14ac:dyDescent="0.25">
      <c r="A72" s="426"/>
      <c r="B72" s="416"/>
      <c r="C72" s="426"/>
      <c r="D72" s="26" t="s">
        <v>11</v>
      </c>
      <c r="E72" s="26" t="s">
        <v>13</v>
      </c>
      <c r="F72" s="78">
        <v>43714</v>
      </c>
      <c r="G72" s="78">
        <f t="shared" si="2"/>
        <v>52456.799999999996</v>
      </c>
      <c r="H72" s="424"/>
    </row>
    <row r="73" spans="1:8" x14ac:dyDescent="0.25">
      <c r="A73" s="426"/>
      <c r="B73" s="416"/>
      <c r="C73" s="426" t="s">
        <v>543</v>
      </c>
      <c r="D73" s="26" t="s">
        <v>11</v>
      </c>
      <c r="E73" s="26" t="s">
        <v>12</v>
      </c>
      <c r="F73" s="78">
        <v>38896</v>
      </c>
      <c r="G73" s="78">
        <f t="shared" si="2"/>
        <v>46675.199999999997</v>
      </c>
      <c r="H73" s="424"/>
    </row>
    <row r="74" spans="1:8" x14ac:dyDescent="0.25">
      <c r="A74" s="426"/>
      <c r="B74" s="416"/>
      <c r="C74" s="426"/>
      <c r="D74" s="26" t="s">
        <v>11</v>
      </c>
      <c r="E74" s="26" t="s">
        <v>13</v>
      </c>
      <c r="F74" s="78">
        <v>47909</v>
      </c>
      <c r="G74" s="78">
        <f t="shared" si="2"/>
        <v>57490.799999999996</v>
      </c>
      <c r="H74" s="424"/>
    </row>
    <row r="75" spans="1:8" x14ac:dyDescent="0.25">
      <c r="A75" s="426"/>
      <c r="B75" s="416"/>
      <c r="C75" s="426" t="s">
        <v>544</v>
      </c>
      <c r="D75" s="26" t="s">
        <v>11</v>
      </c>
      <c r="E75" s="26" t="s">
        <v>12</v>
      </c>
      <c r="F75" s="78">
        <v>41087</v>
      </c>
      <c r="G75" s="78">
        <f t="shared" si="2"/>
        <v>49304.4</v>
      </c>
      <c r="H75" s="424"/>
    </row>
    <row r="76" spans="1:8" x14ac:dyDescent="0.25">
      <c r="A76" s="426"/>
      <c r="B76" s="416"/>
      <c r="C76" s="426"/>
      <c r="D76" s="26" t="s">
        <v>11</v>
      </c>
      <c r="E76" s="26" t="s">
        <v>13</v>
      </c>
      <c r="F76" s="78">
        <v>49913</v>
      </c>
      <c r="G76" s="78">
        <f t="shared" si="2"/>
        <v>59895.6</v>
      </c>
      <c r="H76" s="424"/>
    </row>
    <row r="77" spans="1:8" x14ac:dyDescent="0.25">
      <c r="A77" s="426"/>
      <c r="B77" s="416"/>
      <c r="C77" s="426" t="s">
        <v>545</v>
      </c>
      <c r="D77" s="26" t="s">
        <v>11</v>
      </c>
      <c r="E77" s="26" t="s">
        <v>12</v>
      </c>
      <c r="F77" s="78">
        <v>46098</v>
      </c>
      <c r="G77" s="78">
        <f t="shared" si="2"/>
        <v>55317.599999999999</v>
      </c>
      <c r="H77" s="424"/>
    </row>
    <row r="78" spans="1:8" x14ac:dyDescent="0.25">
      <c r="A78" s="426"/>
      <c r="B78" s="416"/>
      <c r="C78" s="426"/>
      <c r="D78" s="26" t="s">
        <v>11</v>
      </c>
      <c r="E78" s="26" t="s">
        <v>13</v>
      </c>
      <c r="F78" s="78">
        <v>56298</v>
      </c>
      <c r="G78" s="78">
        <f t="shared" si="2"/>
        <v>67557.599999999991</v>
      </c>
      <c r="H78" s="424"/>
    </row>
    <row r="79" spans="1:8" x14ac:dyDescent="0.25">
      <c r="A79" s="426"/>
      <c r="B79" s="416"/>
      <c r="C79" s="426" t="s">
        <v>546</v>
      </c>
      <c r="D79" s="26" t="s">
        <v>11</v>
      </c>
      <c r="E79" s="26" t="s">
        <v>12</v>
      </c>
      <c r="F79" s="78">
        <v>49815</v>
      </c>
      <c r="G79" s="78">
        <f t="shared" si="2"/>
        <v>59778</v>
      </c>
      <c r="H79" s="424"/>
    </row>
    <row r="80" spans="1:8" x14ac:dyDescent="0.25">
      <c r="A80" s="426"/>
      <c r="B80" s="416"/>
      <c r="C80" s="426"/>
      <c r="D80" s="26" t="s">
        <v>11</v>
      </c>
      <c r="E80" s="26" t="s">
        <v>13</v>
      </c>
      <c r="F80" s="78">
        <v>60492</v>
      </c>
      <c r="G80" s="78">
        <f>F80*1.2</f>
        <v>72590.399999999994</v>
      </c>
      <c r="H80" s="424"/>
    </row>
    <row r="81" spans="1:8" x14ac:dyDescent="0.25">
      <c r="A81" s="426"/>
      <c r="B81" s="416"/>
      <c r="C81" s="426" t="s">
        <v>547</v>
      </c>
      <c r="D81" s="26" t="s">
        <v>11</v>
      </c>
      <c r="E81" s="26" t="s">
        <v>12</v>
      </c>
      <c r="F81" s="78">
        <v>53454</v>
      </c>
      <c r="G81" s="78">
        <f>F81*1.2</f>
        <v>64144.799999999996</v>
      </c>
      <c r="H81" s="424"/>
    </row>
    <row r="82" spans="1:8" x14ac:dyDescent="0.25">
      <c r="A82" s="426"/>
      <c r="B82" s="416"/>
      <c r="C82" s="426"/>
      <c r="D82" s="26" t="s">
        <v>11</v>
      </c>
      <c r="E82" s="26" t="s">
        <v>13</v>
      </c>
      <c r="F82" s="78">
        <v>64685</v>
      </c>
      <c r="G82" s="78">
        <f t="shared" ref="G82:G94" si="3">F82*1.2</f>
        <v>77622</v>
      </c>
      <c r="H82" s="424"/>
    </row>
    <row r="83" spans="1:8" x14ac:dyDescent="0.25">
      <c r="A83" s="426"/>
      <c r="B83" s="416"/>
      <c r="C83" s="426" t="s">
        <v>548</v>
      </c>
      <c r="D83" s="26" t="s">
        <v>11</v>
      </c>
      <c r="E83" s="26" t="s">
        <v>12</v>
      </c>
      <c r="F83" s="78">
        <v>57744</v>
      </c>
      <c r="G83" s="78">
        <f t="shared" si="3"/>
        <v>69292.800000000003</v>
      </c>
      <c r="H83" s="424"/>
    </row>
    <row r="84" spans="1:8" x14ac:dyDescent="0.25">
      <c r="A84" s="426"/>
      <c r="B84" s="416"/>
      <c r="C84" s="426"/>
      <c r="D84" s="26" t="s">
        <v>11</v>
      </c>
      <c r="E84" s="26" t="s">
        <v>13</v>
      </c>
      <c r="F84" s="78">
        <v>69560</v>
      </c>
      <c r="G84" s="78">
        <f t="shared" si="3"/>
        <v>83472</v>
      </c>
      <c r="H84" s="424"/>
    </row>
    <row r="85" spans="1:8" x14ac:dyDescent="0.25">
      <c r="A85" s="426"/>
      <c r="B85" s="416"/>
      <c r="C85" s="426" t="s">
        <v>549</v>
      </c>
      <c r="D85" s="26" t="s">
        <v>11</v>
      </c>
      <c r="E85" s="26" t="s">
        <v>12</v>
      </c>
      <c r="F85" s="78">
        <v>66476</v>
      </c>
      <c r="G85" s="78">
        <f t="shared" si="3"/>
        <v>79771.199999999997</v>
      </c>
      <c r="H85" s="424"/>
    </row>
    <row r="86" spans="1:8" x14ac:dyDescent="0.25">
      <c r="A86" s="426"/>
      <c r="B86" s="416"/>
      <c r="C86" s="426"/>
      <c r="D86" s="26" t="s">
        <v>11</v>
      </c>
      <c r="E86" s="26" t="s">
        <v>13</v>
      </c>
      <c r="F86" s="78">
        <v>79106</v>
      </c>
      <c r="G86" s="78">
        <f t="shared" si="3"/>
        <v>94927.2</v>
      </c>
      <c r="H86" s="424"/>
    </row>
    <row r="87" spans="1:8" x14ac:dyDescent="0.25">
      <c r="A87" s="426"/>
      <c r="B87" s="416"/>
      <c r="C87" s="426" t="s">
        <v>550</v>
      </c>
      <c r="D87" s="26" t="s">
        <v>11</v>
      </c>
      <c r="E87" s="26" t="s">
        <v>12</v>
      </c>
      <c r="F87" s="78">
        <v>72298</v>
      </c>
      <c r="G87" s="78">
        <f t="shared" si="3"/>
        <v>86757.599999999991</v>
      </c>
      <c r="H87" s="424"/>
    </row>
    <row r="88" spans="1:8" x14ac:dyDescent="0.25">
      <c r="A88" s="426"/>
      <c r="B88" s="416"/>
      <c r="C88" s="426"/>
      <c r="D88" s="26" t="s">
        <v>11</v>
      </c>
      <c r="E88" s="26" t="s">
        <v>13</v>
      </c>
      <c r="F88" s="78">
        <v>86336</v>
      </c>
      <c r="G88" s="78">
        <f t="shared" si="3"/>
        <v>103603.2</v>
      </c>
      <c r="H88" s="424"/>
    </row>
    <row r="89" spans="1:8" x14ac:dyDescent="0.25">
      <c r="A89" s="426"/>
      <c r="B89" s="416"/>
      <c r="C89" s="426" t="s">
        <v>551</v>
      </c>
      <c r="D89" s="26" t="s">
        <v>11</v>
      </c>
      <c r="E89" s="26" t="s">
        <v>12</v>
      </c>
      <c r="F89" s="78">
        <v>80524</v>
      </c>
      <c r="G89" s="78">
        <f t="shared" si="3"/>
        <v>96628.800000000003</v>
      </c>
      <c r="H89" s="424"/>
    </row>
    <row r="90" spans="1:8" x14ac:dyDescent="0.25">
      <c r="A90" s="426"/>
      <c r="B90" s="416"/>
      <c r="C90" s="426"/>
      <c r="D90" s="26" t="s">
        <v>11</v>
      </c>
      <c r="E90" s="26" t="s">
        <v>13</v>
      </c>
      <c r="F90" s="78">
        <v>95381</v>
      </c>
      <c r="G90" s="78">
        <f t="shared" si="3"/>
        <v>114457.2</v>
      </c>
      <c r="H90" s="424"/>
    </row>
    <row r="91" spans="1:8" x14ac:dyDescent="0.25">
      <c r="A91" s="426"/>
      <c r="B91" s="416"/>
      <c r="C91" s="426" t="s">
        <v>552</v>
      </c>
      <c r="D91" s="26" t="s">
        <v>11</v>
      </c>
      <c r="E91" s="26" t="s">
        <v>12</v>
      </c>
      <c r="F91" s="78">
        <v>89195</v>
      </c>
      <c r="G91" s="78">
        <f t="shared" si="3"/>
        <v>107034</v>
      </c>
      <c r="H91" s="424"/>
    </row>
    <row r="92" spans="1:8" x14ac:dyDescent="0.25">
      <c r="A92" s="426"/>
      <c r="B92" s="416"/>
      <c r="C92" s="426"/>
      <c r="D92" s="26" t="s">
        <v>11</v>
      </c>
      <c r="E92" s="26" t="s">
        <v>13</v>
      </c>
      <c r="F92" s="78">
        <v>103356</v>
      </c>
      <c r="G92" s="78">
        <f t="shared" si="3"/>
        <v>124027.2</v>
      </c>
      <c r="H92" s="424"/>
    </row>
    <row r="93" spans="1:8" x14ac:dyDescent="0.25">
      <c r="A93" s="426"/>
      <c r="B93" s="416"/>
      <c r="C93" s="426" t="s">
        <v>553</v>
      </c>
      <c r="D93" s="26" t="s">
        <v>11</v>
      </c>
      <c r="E93" s="26" t="s">
        <v>12</v>
      </c>
      <c r="F93" s="78">
        <v>100014</v>
      </c>
      <c r="G93" s="78">
        <f t="shared" si="3"/>
        <v>120016.79999999999</v>
      </c>
      <c r="H93" s="424"/>
    </row>
    <row r="94" spans="1:8" x14ac:dyDescent="0.25">
      <c r="A94" s="426"/>
      <c r="B94" s="416"/>
      <c r="C94" s="426"/>
      <c r="D94" s="26" t="s">
        <v>11</v>
      </c>
      <c r="E94" s="26" t="s">
        <v>13</v>
      </c>
      <c r="F94" s="78">
        <v>114078</v>
      </c>
      <c r="G94" s="78">
        <f t="shared" si="3"/>
        <v>136893.6</v>
      </c>
      <c r="H94" s="424"/>
    </row>
    <row r="95" spans="1:8" x14ac:dyDescent="0.25">
      <c r="A95" s="426" t="s">
        <v>28</v>
      </c>
      <c r="B95" s="416" t="s">
        <v>33</v>
      </c>
      <c r="C95" s="426" t="s">
        <v>34</v>
      </c>
      <c r="D95" s="426" t="s">
        <v>11</v>
      </c>
      <c r="E95" s="26" t="s">
        <v>12</v>
      </c>
      <c r="F95" s="426" t="s">
        <v>14</v>
      </c>
      <c r="G95" s="426"/>
      <c r="H95" s="426"/>
    </row>
    <row r="96" spans="1:8" ht="31.5" x14ac:dyDescent="0.25">
      <c r="A96" s="426"/>
      <c r="B96" s="416"/>
      <c r="C96" s="426"/>
      <c r="D96" s="426"/>
      <c r="E96" s="26" t="s">
        <v>206</v>
      </c>
      <c r="F96" s="426" t="s">
        <v>14</v>
      </c>
      <c r="G96" s="426"/>
      <c r="H96" s="426"/>
    </row>
    <row r="97" spans="1:8" x14ac:dyDescent="0.25">
      <c r="A97" s="426"/>
      <c r="B97" s="416"/>
      <c r="C97" s="426"/>
      <c r="D97" s="26" t="s">
        <v>2</v>
      </c>
      <c r="E97" s="26" t="s">
        <v>2</v>
      </c>
      <c r="F97" s="426" t="s">
        <v>14</v>
      </c>
      <c r="G97" s="426"/>
      <c r="H97" s="426"/>
    </row>
    <row r="98" spans="1:8" x14ac:dyDescent="0.25">
      <c r="A98" s="267" t="s">
        <v>32</v>
      </c>
      <c r="B98" s="268" t="s">
        <v>243</v>
      </c>
      <c r="C98" s="268" t="s">
        <v>244</v>
      </c>
      <c r="D98" s="559"/>
      <c r="E98" s="559"/>
      <c r="F98" s="559"/>
      <c r="G98" s="559"/>
      <c r="H98" s="559"/>
    </row>
    <row r="99" spans="1:8" x14ac:dyDescent="0.25">
      <c r="A99" s="267"/>
      <c r="B99" s="268"/>
      <c r="C99" s="267" t="s">
        <v>245</v>
      </c>
      <c r="D99" s="267" t="s">
        <v>11</v>
      </c>
      <c r="E99" s="19" t="s">
        <v>12</v>
      </c>
      <c r="F99" s="100">
        <f>F130*2+F127*2</f>
        <v>5846</v>
      </c>
      <c r="G99" s="100">
        <f>F99*1.2</f>
        <v>7015.2</v>
      </c>
      <c r="H99" s="100" t="s">
        <v>30</v>
      </c>
    </row>
    <row r="100" spans="1:8" x14ac:dyDescent="0.25">
      <c r="A100" s="267"/>
      <c r="B100" s="268"/>
      <c r="C100" s="267"/>
      <c r="D100" s="267"/>
      <c r="E100" s="19" t="s">
        <v>12</v>
      </c>
      <c r="F100" s="100">
        <f>F130*2+F129*2</f>
        <v>6960</v>
      </c>
      <c r="G100" s="100">
        <f t="shared" ref="G100:G106" si="4">F100*1.2</f>
        <v>8352</v>
      </c>
      <c r="H100" s="100" t="s">
        <v>246</v>
      </c>
    </row>
    <row r="101" spans="1:8" ht="31.5" x14ac:dyDescent="0.25">
      <c r="A101" s="267"/>
      <c r="B101" s="268"/>
      <c r="C101" s="267"/>
      <c r="D101" s="267"/>
      <c r="E101" s="19" t="s">
        <v>206</v>
      </c>
      <c r="F101" s="100">
        <f>F133*2+F132*2</f>
        <v>7794</v>
      </c>
      <c r="G101" s="100">
        <f t="shared" si="4"/>
        <v>9352.7999999999993</v>
      </c>
      <c r="H101" s="100"/>
    </row>
    <row r="102" spans="1:8" x14ac:dyDescent="0.25">
      <c r="A102" s="267"/>
      <c r="B102" s="268"/>
      <c r="C102" s="267" t="s">
        <v>247</v>
      </c>
      <c r="D102" s="267"/>
      <c r="E102" s="19" t="s">
        <v>12</v>
      </c>
      <c r="F102" s="100">
        <f>F127*2</f>
        <v>3340</v>
      </c>
      <c r="G102" s="100">
        <f t="shared" si="4"/>
        <v>4008</v>
      </c>
      <c r="H102" s="100" t="s">
        <v>30</v>
      </c>
    </row>
    <row r="103" spans="1:8" x14ac:dyDescent="0.25">
      <c r="A103" s="267"/>
      <c r="B103" s="268"/>
      <c r="C103" s="267"/>
      <c r="D103" s="267"/>
      <c r="E103" s="19" t="s">
        <v>12</v>
      </c>
      <c r="F103" s="100">
        <f>F129*2</f>
        <v>4454</v>
      </c>
      <c r="G103" s="100">
        <f t="shared" si="4"/>
        <v>5344.8</v>
      </c>
      <c r="H103" s="100" t="s">
        <v>246</v>
      </c>
    </row>
    <row r="104" spans="1:8" ht="31.5" x14ac:dyDescent="0.25">
      <c r="A104" s="267"/>
      <c r="B104" s="268"/>
      <c r="C104" s="267"/>
      <c r="D104" s="267"/>
      <c r="E104" s="19" t="s">
        <v>206</v>
      </c>
      <c r="F104" s="100">
        <f>F132*2</f>
        <v>4454</v>
      </c>
      <c r="G104" s="100">
        <f t="shared" si="4"/>
        <v>5344.8</v>
      </c>
      <c r="H104" s="100"/>
    </row>
    <row r="105" spans="1:8" x14ac:dyDescent="0.25">
      <c r="A105" s="267"/>
      <c r="B105" s="268"/>
      <c r="C105" s="267" t="s">
        <v>247</v>
      </c>
      <c r="D105" s="267"/>
      <c r="E105" s="19" t="s">
        <v>12</v>
      </c>
      <c r="F105" s="100">
        <f>F130*2</f>
        <v>2506</v>
      </c>
      <c r="G105" s="100">
        <f t="shared" si="4"/>
        <v>3007.2</v>
      </c>
      <c r="H105" s="100" t="s">
        <v>145</v>
      </c>
    </row>
    <row r="106" spans="1:8" ht="31.5" x14ac:dyDescent="0.25">
      <c r="A106" s="267"/>
      <c r="B106" s="268"/>
      <c r="C106" s="267"/>
      <c r="D106" s="267"/>
      <c r="E106" s="19" t="s">
        <v>206</v>
      </c>
      <c r="F106" s="100">
        <f>F133*2</f>
        <v>3340</v>
      </c>
      <c r="G106" s="100">
        <f t="shared" si="4"/>
        <v>4008</v>
      </c>
      <c r="H106" s="100" t="s">
        <v>145</v>
      </c>
    </row>
    <row r="107" spans="1:8" x14ac:dyDescent="0.25">
      <c r="A107" s="416" t="s">
        <v>35</v>
      </c>
      <c r="B107" s="416"/>
      <c r="C107" s="416"/>
      <c r="D107" s="416"/>
      <c r="E107" s="416"/>
      <c r="F107" s="416"/>
      <c r="G107" s="416"/>
      <c r="H107" s="416"/>
    </row>
    <row r="108" spans="1:8" x14ac:dyDescent="0.25">
      <c r="A108" s="416" t="s">
        <v>36</v>
      </c>
      <c r="B108" s="416"/>
      <c r="C108" s="416" t="s">
        <v>37</v>
      </c>
      <c r="D108" s="416"/>
      <c r="E108" s="416"/>
      <c r="F108" s="416"/>
      <c r="G108" s="416"/>
      <c r="H108" s="416"/>
    </row>
    <row r="109" spans="1:8" x14ac:dyDescent="0.25">
      <c r="A109" s="426" t="s">
        <v>60</v>
      </c>
      <c r="B109" s="416" t="s">
        <v>140</v>
      </c>
      <c r="C109" s="426" t="s">
        <v>38</v>
      </c>
      <c r="D109" s="426" t="s">
        <v>11</v>
      </c>
      <c r="E109" s="7" t="s">
        <v>12</v>
      </c>
      <c r="F109" s="426" t="s">
        <v>14</v>
      </c>
      <c r="G109" s="426"/>
      <c r="H109" s="426"/>
    </row>
    <row r="110" spans="1:8" ht="31.5" x14ac:dyDescent="0.25">
      <c r="A110" s="426"/>
      <c r="B110" s="416"/>
      <c r="C110" s="426"/>
      <c r="D110" s="426"/>
      <c r="E110" s="252" t="s">
        <v>206</v>
      </c>
      <c r="F110" s="426" t="s">
        <v>14</v>
      </c>
      <c r="G110" s="426"/>
      <c r="H110" s="426"/>
    </row>
    <row r="111" spans="1:8" x14ac:dyDescent="0.25">
      <c r="A111" s="426"/>
      <c r="B111" s="416"/>
      <c r="C111" s="426"/>
      <c r="D111" s="26" t="s">
        <v>2</v>
      </c>
      <c r="E111" s="209"/>
      <c r="F111" s="426" t="s">
        <v>14</v>
      </c>
      <c r="G111" s="426"/>
      <c r="H111" s="426"/>
    </row>
    <row r="112" spans="1:8" ht="33" customHeight="1" x14ac:dyDescent="0.25">
      <c r="A112" s="426" t="s">
        <v>39</v>
      </c>
      <c r="B112" s="416" t="s">
        <v>42</v>
      </c>
      <c r="C112" s="426" t="s">
        <v>43</v>
      </c>
      <c r="D112" s="26" t="s">
        <v>40</v>
      </c>
      <c r="E112" s="7" t="s">
        <v>11</v>
      </c>
      <c r="F112" s="426" t="s">
        <v>14</v>
      </c>
      <c r="G112" s="426"/>
      <c r="H112" s="424" t="s">
        <v>90</v>
      </c>
    </row>
    <row r="113" spans="1:8" ht="33" customHeight="1" x14ac:dyDescent="0.25">
      <c r="A113" s="426"/>
      <c r="B113" s="416"/>
      <c r="C113" s="426"/>
      <c r="D113" s="26" t="s">
        <v>91</v>
      </c>
      <c r="E113" s="7" t="s">
        <v>2</v>
      </c>
      <c r="F113" s="426" t="s">
        <v>14</v>
      </c>
      <c r="G113" s="426"/>
      <c r="H113" s="424"/>
    </row>
    <row r="114" spans="1:8" ht="94.5" x14ac:dyDescent="0.25">
      <c r="A114" s="426"/>
      <c r="B114" s="416"/>
      <c r="C114" s="426"/>
      <c r="D114" s="426" t="s">
        <v>40</v>
      </c>
      <c r="E114" s="427" t="s">
        <v>98</v>
      </c>
      <c r="F114" s="245">
        <v>315</v>
      </c>
      <c r="G114" s="245">
        <f t="shared" ref="G114:G119" si="5">F114*1.2</f>
        <v>378</v>
      </c>
      <c r="H114" s="215" t="s">
        <v>99</v>
      </c>
    </row>
    <row r="115" spans="1:8" ht="94.5" x14ac:dyDescent="0.25">
      <c r="A115" s="426"/>
      <c r="B115" s="416"/>
      <c r="C115" s="426"/>
      <c r="D115" s="428"/>
      <c r="E115" s="427"/>
      <c r="F115" s="245">
        <v>630</v>
      </c>
      <c r="G115" s="245">
        <f t="shared" si="5"/>
        <v>756</v>
      </c>
      <c r="H115" s="215" t="s">
        <v>660</v>
      </c>
    </row>
    <row r="116" spans="1:8" ht="94.5" x14ac:dyDescent="0.25">
      <c r="A116" s="426"/>
      <c r="B116" s="416"/>
      <c r="C116" s="426"/>
      <c r="D116" s="428"/>
      <c r="E116" s="427"/>
      <c r="F116" s="245">
        <v>1050</v>
      </c>
      <c r="G116" s="245">
        <f t="shared" si="5"/>
        <v>1260</v>
      </c>
      <c r="H116" s="215" t="s">
        <v>659</v>
      </c>
    </row>
    <row r="117" spans="1:8" ht="94.5" x14ac:dyDescent="0.25">
      <c r="A117" s="426"/>
      <c r="B117" s="416"/>
      <c r="C117" s="426"/>
      <c r="D117" s="426" t="s">
        <v>40</v>
      </c>
      <c r="E117" s="427" t="s">
        <v>102</v>
      </c>
      <c r="F117" s="245">
        <v>525</v>
      </c>
      <c r="G117" s="245">
        <f t="shared" si="5"/>
        <v>630</v>
      </c>
      <c r="H117" s="215" t="s">
        <v>661</v>
      </c>
    </row>
    <row r="118" spans="1:8" ht="94.5" x14ac:dyDescent="0.25">
      <c r="A118" s="426"/>
      <c r="B118" s="416"/>
      <c r="C118" s="426"/>
      <c r="D118" s="428"/>
      <c r="E118" s="427"/>
      <c r="F118" s="245">
        <v>787</v>
      </c>
      <c r="G118" s="245">
        <f t="shared" si="5"/>
        <v>944.4</v>
      </c>
      <c r="H118" s="215" t="s">
        <v>660</v>
      </c>
    </row>
    <row r="119" spans="1:8" ht="94.5" x14ac:dyDescent="0.25">
      <c r="A119" s="426"/>
      <c r="B119" s="416"/>
      <c r="C119" s="426"/>
      <c r="D119" s="428"/>
      <c r="E119" s="427"/>
      <c r="F119" s="245">
        <v>1050</v>
      </c>
      <c r="G119" s="245">
        <f t="shared" si="5"/>
        <v>1260</v>
      </c>
      <c r="H119" s="215" t="s">
        <v>659</v>
      </c>
    </row>
    <row r="120" spans="1:8" ht="94.5" x14ac:dyDescent="0.25">
      <c r="A120" s="426"/>
      <c r="B120" s="416"/>
      <c r="C120" s="426"/>
      <c r="D120" s="429" t="s">
        <v>41</v>
      </c>
      <c r="E120" s="7" t="s">
        <v>2</v>
      </c>
      <c r="F120" s="78">
        <v>3000</v>
      </c>
      <c r="G120" s="78">
        <f>F120*1.2</f>
        <v>3600</v>
      </c>
      <c r="H120" s="215" t="s">
        <v>672</v>
      </c>
    </row>
    <row r="121" spans="1:8" ht="94.5" x14ac:dyDescent="0.25">
      <c r="A121" s="426"/>
      <c r="B121" s="416"/>
      <c r="C121" s="426"/>
      <c r="D121" s="429"/>
      <c r="E121" s="7" t="s">
        <v>2</v>
      </c>
      <c r="F121" s="78">
        <v>4500</v>
      </c>
      <c r="G121" s="78">
        <f>F121*1.2</f>
        <v>5400</v>
      </c>
      <c r="H121" s="215" t="s">
        <v>662</v>
      </c>
    </row>
    <row r="122" spans="1:8" x14ac:dyDescent="0.25">
      <c r="A122" s="426" t="s">
        <v>555</v>
      </c>
      <c r="B122" s="416" t="s">
        <v>506</v>
      </c>
      <c r="C122" s="426" t="s">
        <v>470</v>
      </c>
      <c r="D122" s="426" t="s">
        <v>11</v>
      </c>
      <c r="E122" s="7" t="s">
        <v>12</v>
      </c>
      <c r="F122" s="426" t="s">
        <v>14</v>
      </c>
      <c r="G122" s="426"/>
      <c r="H122" s="426"/>
    </row>
    <row r="123" spans="1:8" ht="31.5" x14ac:dyDescent="0.25">
      <c r="A123" s="426"/>
      <c r="B123" s="416"/>
      <c r="C123" s="426"/>
      <c r="D123" s="426"/>
      <c r="E123" s="252" t="s">
        <v>206</v>
      </c>
      <c r="F123" s="426" t="s">
        <v>14</v>
      </c>
      <c r="G123" s="426"/>
      <c r="H123" s="426"/>
    </row>
    <row r="124" spans="1:8" x14ac:dyDescent="0.25">
      <c r="A124" s="426"/>
      <c r="B124" s="416"/>
      <c r="C124" s="426"/>
      <c r="D124" s="26" t="s">
        <v>2</v>
      </c>
      <c r="E124" s="7"/>
      <c r="F124" s="426" t="s">
        <v>14</v>
      </c>
      <c r="G124" s="426"/>
      <c r="H124" s="426"/>
    </row>
    <row r="125" spans="1:8" x14ac:dyDescent="0.25">
      <c r="A125" s="416" t="s">
        <v>81</v>
      </c>
      <c r="B125" s="416"/>
      <c r="C125" s="416" t="s">
        <v>82</v>
      </c>
      <c r="D125" s="416"/>
      <c r="E125" s="416"/>
      <c r="F125" s="416"/>
      <c r="G125" s="416"/>
      <c r="H125" s="416"/>
    </row>
    <row r="126" spans="1:8" x14ac:dyDescent="0.25">
      <c r="A126" s="424">
        <v>10</v>
      </c>
      <c r="B126" s="425" t="s">
        <v>83</v>
      </c>
      <c r="C126" s="295" t="s">
        <v>84</v>
      </c>
      <c r="D126" s="295"/>
      <c r="E126" s="295"/>
      <c r="F126" s="295"/>
      <c r="G126" s="295"/>
      <c r="H126" s="295"/>
    </row>
    <row r="127" spans="1:8" x14ac:dyDescent="0.25">
      <c r="A127" s="424"/>
      <c r="B127" s="425"/>
      <c r="C127" s="296" t="s">
        <v>556</v>
      </c>
      <c r="D127" s="401" t="s">
        <v>85</v>
      </c>
      <c r="E127" s="403" t="s">
        <v>12</v>
      </c>
      <c r="F127" s="570">
        <v>1670</v>
      </c>
      <c r="G127" s="570">
        <f>F127*1.2</f>
        <v>2004</v>
      </c>
      <c r="H127" s="296" t="s">
        <v>557</v>
      </c>
    </row>
    <row r="128" spans="1:8" x14ac:dyDescent="0.25">
      <c r="A128" s="424"/>
      <c r="B128" s="425"/>
      <c r="C128" s="296"/>
      <c r="D128" s="401"/>
      <c r="E128" s="403"/>
      <c r="F128" s="570"/>
      <c r="G128" s="570"/>
      <c r="H128" s="296"/>
    </row>
    <row r="129" spans="1:8" ht="47.25" x14ac:dyDescent="0.25">
      <c r="A129" s="424"/>
      <c r="B129" s="425"/>
      <c r="C129" s="96" t="s">
        <v>473</v>
      </c>
      <c r="D129" s="401"/>
      <c r="E129" s="403"/>
      <c r="F129" s="83">
        <v>2227</v>
      </c>
      <c r="G129" s="83">
        <f t="shared" ref="G129:G135" si="6">F129*1.2</f>
        <v>2672.4</v>
      </c>
      <c r="H129" s="296"/>
    </row>
    <row r="130" spans="1:8" x14ac:dyDescent="0.25">
      <c r="A130" s="424"/>
      <c r="B130" s="425"/>
      <c r="C130" s="296" t="s">
        <v>265</v>
      </c>
      <c r="D130" s="401" t="s">
        <v>85</v>
      </c>
      <c r="E130" s="403" t="s">
        <v>12</v>
      </c>
      <c r="F130" s="570">
        <v>1253</v>
      </c>
      <c r="G130" s="570">
        <f>F130*1.2</f>
        <v>1503.6</v>
      </c>
      <c r="H130" s="296"/>
    </row>
    <row r="131" spans="1:8" x14ac:dyDescent="0.25">
      <c r="A131" s="424"/>
      <c r="B131" s="425"/>
      <c r="C131" s="296"/>
      <c r="D131" s="401"/>
      <c r="E131" s="403"/>
      <c r="F131" s="570"/>
      <c r="G131" s="570"/>
      <c r="H131" s="296"/>
    </row>
    <row r="132" spans="1:8" ht="31.5" x14ac:dyDescent="0.25">
      <c r="A132" s="424"/>
      <c r="B132" s="425"/>
      <c r="C132" s="96" t="s">
        <v>266</v>
      </c>
      <c r="D132" s="401" t="s">
        <v>85</v>
      </c>
      <c r="E132" s="400" t="s">
        <v>206</v>
      </c>
      <c r="F132" s="83">
        <v>2227</v>
      </c>
      <c r="G132" s="83">
        <f t="shared" si="6"/>
        <v>2672.4</v>
      </c>
      <c r="H132" s="296"/>
    </row>
    <row r="133" spans="1:8" ht="31.5" x14ac:dyDescent="0.25">
      <c r="A133" s="424"/>
      <c r="B133" s="425"/>
      <c r="C133" s="96" t="s">
        <v>265</v>
      </c>
      <c r="D133" s="401"/>
      <c r="E133" s="403"/>
      <c r="F133" s="83">
        <v>1670</v>
      </c>
      <c r="G133" s="83">
        <f t="shared" si="6"/>
        <v>2004</v>
      </c>
      <c r="H133" s="296"/>
    </row>
    <row r="134" spans="1:8" ht="64.5" customHeight="1" x14ac:dyDescent="0.25">
      <c r="A134" s="424"/>
      <c r="B134" s="425"/>
      <c r="C134" s="296" t="s">
        <v>265</v>
      </c>
      <c r="D134" s="401" t="s">
        <v>85</v>
      </c>
      <c r="E134" s="44" t="s">
        <v>12</v>
      </c>
      <c r="F134" s="83">
        <v>652</v>
      </c>
      <c r="G134" s="81">
        <f t="shared" si="6"/>
        <v>782.4</v>
      </c>
      <c r="H134" s="296" t="s">
        <v>558</v>
      </c>
    </row>
    <row r="135" spans="1:8" ht="64.5" customHeight="1" x14ac:dyDescent="0.25">
      <c r="A135" s="424"/>
      <c r="B135" s="425"/>
      <c r="C135" s="296"/>
      <c r="D135" s="401"/>
      <c r="E135" s="212" t="s">
        <v>206</v>
      </c>
      <c r="F135" s="83">
        <v>728</v>
      </c>
      <c r="G135" s="81">
        <f t="shared" si="6"/>
        <v>873.6</v>
      </c>
      <c r="H135" s="296"/>
    </row>
    <row r="136" spans="1:8" x14ac:dyDescent="0.25">
      <c r="A136" s="424">
        <v>11</v>
      </c>
      <c r="B136" s="268" t="s">
        <v>87</v>
      </c>
      <c r="C136" s="295" t="s">
        <v>88</v>
      </c>
      <c r="D136" s="295"/>
      <c r="E136" s="295"/>
      <c r="F136" s="295"/>
      <c r="G136" s="295"/>
      <c r="H136" s="295"/>
    </row>
    <row r="137" spans="1:8" x14ac:dyDescent="0.25">
      <c r="A137" s="424"/>
      <c r="B137" s="268"/>
      <c r="C137" s="418" t="s">
        <v>559</v>
      </c>
      <c r="D137" s="414" t="s">
        <v>89</v>
      </c>
      <c r="E137" s="7" t="s">
        <v>12</v>
      </c>
      <c r="F137" s="100">
        <v>65</v>
      </c>
      <c r="G137" s="81">
        <f t="shared" ref="G137:G172" si="7">F137*1.2</f>
        <v>78</v>
      </c>
      <c r="H137" s="417" t="s">
        <v>560</v>
      </c>
    </row>
    <row r="138" spans="1:8" x14ac:dyDescent="0.25">
      <c r="A138" s="424"/>
      <c r="B138" s="268"/>
      <c r="C138" s="418"/>
      <c r="D138" s="414"/>
      <c r="E138" s="7" t="s">
        <v>13</v>
      </c>
      <c r="F138" s="100">
        <v>104</v>
      </c>
      <c r="G138" s="81">
        <f t="shared" si="7"/>
        <v>124.8</v>
      </c>
      <c r="H138" s="417"/>
    </row>
    <row r="139" spans="1:8" x14ac:dyDescent="0.25">
      <c r="A139" s="424"/>
      <c r="B139" s="268"/>
      <c r="C139" s="418"/>
      <c r="D139" s="414"/>
      <c r="E139" s="7" t="s">
        <v>148</v>
      </c>
      <c r="F139" s="100">
        <v>110</v>
      </c>
      <c r="G139" s="81">
        <f t="shared" si="7"/>
        <v>132</v>
      </c>
      <c r="H139" s="417"/>
    </row>
    <row r="140" spans="1:8" x14ac:dyDescent="0.25">
      <c r="A140" s="424"/>
      <c r="B140" s="268"/>
      <c r="C140" s="418" t="s">
        <v>561</v>
      </c>
      <c r="D140" s="414"/>
      <c r="E140" s="7" t="s">
        <v>12</v>
      </c>
      <c r="F140" s="100">
        <v>97</v>
      </c>
      <c r="G140" s="81">
        <f t="shared" si="7"/>
        <v>116.39999999999999</v>
      </c>
      <c r="H140" s="417"/>
    </row>
    <row r="141" spans="1:8" x14ac:dyDescent="0.25">
      <c r="A141" s="424"/>
      <c r="B141" s="268"/>
      <c r="C141" s="418"/>
      <c r="D141" s="414"/>
      <c r="E141" s="7" t="s">
        <v>13</v>
      </c>
      <c r="F141" s="100">
        <v>157</v>
      </c>
      <c r="G141" s="81">
        <f t="shared" si="7"/>
        <v>188.4</v>
      </c>
      <c r="H141" s="417"/>
    </row>
    <row r="142" spans="1:8" x14ac:dyDescent="0.25">
      <c r="A142" s="424"/>
      <c r="B142" s="268"/>
      <c r="C142" s="418"/>
      <c r="D142" s="414"/>
      <c r="E142" s="7" t="s">
        <v>148</v>
      </c>
      <c r="F142" s="100">
        <v>164</v>
      </c>
      <c r="G142" s="81">
        <f t="shared" si="7"/>
        <v>196.79999999999998</v>
      </c>
      <c r="H142" s="417"/>
    </row>
    <row r="143" spans="1:8" ht="21" customHeight="1" x14ac:dyDescent="0.25">
      <c r="A143" s="424"/>
      <c r="B143" s="268"/>
      <c r="C143" s="418" t="s">
        <v>562</v>
      </c>
      <c r="D143" s="414" t="s">
        <v>89</v>
      </c>
      <c r="E143" s="7" t="s">
        <v>12</v>
      </c>
      <c r="F143" s="100">
        <v>236</v>
      </c>
      <c r="G143" s="81">
        <f t="shared" si="7"/>
        <v>283.2</v>
      </c>
      <c r="H143" s="417" t="s">
        <v>563</v>
      </c>
    </row>
    <row r="144" spans="1:8" ht="21" customHeight="1" x14ac:dyDescent="0.25">
      <c r="A144" s="424"/>
      <c r="B144" s="268"/>
      <c r="C144" s="418"/>
      <c r="D144" s="414"/>
      <c r="E144" s="7" t="s">
        <v>13</v>
      </c>
      <c r="F144" s="100">
        <v>448</v>
      </c>
      <c r="G144" s="81">
        <f t="shared" si="7"/>
        <v>537.6</v>
      </c>
      <c r="H144" s="417"/>
    </row>
    <row r="145" spans="1:8" ht="24" customHeight="1" x14ac:dyDescent="0.25">
      <c r="A145" s="424"/>
      <c r="B145" s="268"/>
      <c r="C145" s="418"/>
      <c r="D145" s="414"/>
      <c r="E145" s="7" t="s">
        <v>148</v>
      </c>
      <c r="F145" s="100">
        <v>460</v>
      </c>
      <c r="G145" s="81">
        <f t="shared" si="7"/>
        <v>552</v>
      </c>
      <c r="H145" s="417"/>
    </row>
    <row r="146" spans="1:8" ht="22.5" customHeight="1" x14ac:dyDescent="0.25">
      <c r="A146" s="424"/>
      <c r="B146" s="268"/>
      <c r="C146" s="418" t="s">
        <v>564</v>
      </c>
      <c r="D146" s="414"/>
      <c r="E146" s="7" t="s">
        <v>12</v>
      </c>
      <c r="F146" s="100">
        <v>295</v>
      </c>
      <c r="G146" s="81">
        <f t="shared" si="7"/>
        <v>354</v>
      </c>
      <c r="H146" s="417"/>
    </row>
    <row r="147" spans="1:8" ht="23.25" customHeight="1" x14ac:dyDescent="0.25">
      <c r="A147" s="424"/>
      <c r="B147" s="268"/>
      <c r="C147" s="418"/>
      <c r="D147" s="414"/>
      <c r="E147" s="7" t="s">
        <v>13</v>
      </c>
      <c r="F147" s="100">
        <v>560</v>
      </c>
      <c r="G147" s="81">
        <f t="shared" si="7"/>
        <v>672</v>
      </c>
      <c r="H147" s="417"/>
    </row>
    <row r="148" spans="1:8" ht="23.25" customHeight="1" x14ac:dyDescent="0.25">
      <c r="A148" s="424"/>
      <c r="B148" s="268"/>
      <c r="C148" s="418"/>
      <c r="D148" s="414"/>
      <c r="E148" s="7" t="s">
        <v>148</v>
      </c>
      <c r="F148" s="100">
        <v>575</v>
      </c>
      <c r="G148" s="81">
        <f t="shared" si="7"/>
        <v>690</v>
      </c>
      <c r="H148" s="417"/>
    </row>
    <row r="149" spans="1:8" ht="23.25" customHeight="1" x14ac:dyDescent="0.25">
      <c r="A149" s="424"/>
      <c r="B149" s="268"/>
      <c r="C149" s="418" t="s">
        <v>565</v>
      </c>
      <c r="D149" s="414"/>
      <c r="E149" s="7" t="s">
        <v>12</v>
      </c>
      <c r="F149" s="100">
        <v>354</v>
      </c>
      <c r="G149" s="81">
        <f t="shared" si="7"/>
        <v>424.8</v>
      </c>
      <c r="H149" s="417"/>
    </row>
    <row r="150" spans="1:8" ht="25.5" customHeight="1" x14ac:dyDescent="0.25">
      <c r="A150" s="424"/>
      <c r="B150" s="268"/>
      <c r="C150" s="418"/>
      <c r="D150" s="414"/>
      <c r="E150" s="7" t="s">
        <v>13</v>
      </c>
      <c r="F150" s="100">
        <v>671</v>
      </c>
      <c r="G150" s="81">
        <f t="shared" si="7"/>
        <v>805.19999999999993</v>
      </c>
      <c r="H150" s="417"/>
    </row>
    <row r="151" spans="1:8" ht="23.25" customHeight="1" x14ac:dyDescent="0.25">
      <c r="A151" s="424"/>
      <c r="B151" s="268"/>
      <c r="C151" s="418"/>
      <c r="D151" s="414"/>
      <c r="E151" s="7" t="s">
        <v>148</v>
      </c>
      <c r="F151" s="100">
        <v>690</v>
      </c>
      <c r="G151" s="81">
        <f t="shared" si="7"/>
        <v>828</v>
      </c>
      <c r="H151" s="417"/>
    </row>
    <row r="152" spans="1:8" ht="24.75" customHeight="1" x14ac:dyDescent="0.25">
      <c r="A152" s="424"/>
      <c r="B152" s="268"/>
      <c r="C152" s="418" t="s">
        <v>566</v>
      </c>
      <c r="D152" s="414" t="s">
        <v>89</v>
      </c>
      <c r="E152" s="7" t="s">
        <v>12</v>
      </c>
      <c r="F152" s="100">
        <v>3230</v>
      </c>
      <c r="G152" s="81">
        <f>F152*1.2</f>
        <v>3876</v>
      </c>
      <c r="H152" s="417"/>
    </row>
    <row r="153" spans="1:8" x14ac:dyDescent="0.25">
      <c r="A153" s="424"/>
      <c r="B153" s="268"/>
      <c r="C153" s="418"/>
      <c r="D153" s="414"/>
      <c r="E153" s="7" t="s">
        <v>13</v>
      </c>
      <c r="F153" s="100">
        <v>3698</v>
      </c>
      <c r="G153" s="81">
        <f>F153*1.2</f>
        <v>4437.5999999999995</v>
      </c>
      <c r="H153" s="417"/>
    </row>
    <row r="154" spans="1:8" x14ac:dyDescent="0.25">
      <c r="A154" s="424"/>
      <c r="B154" s="268"/>
      <c r="C154" s="418"/>
      <c r="D154" s="414"/>
      <c r="E154" s="7" t="s">
        <v>148</v>
      </c>
      <c r="F154" s="100">
        <v>3800</v>
      </c>
      <c r="G154" s="81">
        <f>F154*1.2</f>
        <v>4560</v>
      </c>
      <c r="H154" s="417"/>
    </row>
    <row r="155" spans="1:8" ht="38.25" customHeight="1" x14ac:dyDescent="0.25">
      <c r="A155" s="424"/>
      <c r="B155" s="268"/>
      <c r="C155" s="418" t="s">
        <v>567</v>
      </c>
      <c r="D155" s="414" t="s">
        <v>89</v>
      </c>
      <c r="E155" s="7" t="s">
        <v>12</v>
      </c>
      <c r="F155" s="100">
        <v>2957</v>
      </c>
      <c r="G155" s="81">
        <f>F155*1.2</f>
        <v>3548.4</v>
      </c>
      <c r="H155" s="423" t="s">
        <v>568</v>
      </c>
    </row>
    <row r="156" spans="1:8" ht="38.25" customHeight="1" x14ac:dyDescent="0.25">
      <c r="A156" s="424"/>
      <c r="B156" s="268"/>
      <c r="C156" s="418"/>
      <c r="D156" s="414"/>
      <c r="E156" s="7" t="s">
        <v>13</v>
      </c>
      <c r="F156" s="100">
        <v>5017</v>
      </c>
      <c r="G156" s="81">
        <f>F156*1.2</f>
        <v>6020.4</v>
      </c>
      <c r="H156" s="423"/>
    </row>
    <row r="157" spans="1:8" ht="38.25" customHeight="1" x14ac:dyDescent="0.25">
      <c r="A157" s="424"/>
      <c r="B157" s="268"/>
      <c r="C157" s="418"/>
      <c r="D157" s="414"/>
      <c r="E157" s="7" t="s">
        <v>148</v>
      </c>
      <c r="F157" s="100">
        <v>5156</v>
      </c>
      <c r="G157" s="81">
        <f t="shared" si="7"/>
        <v>6187.2</v>
      </c>
      <c r="H157" s="423"/>
    </row>
    <row r="158" spans="1:8" ht="38.25" customHeight="1" x14ac:dyDescent="0.25">
      <c r="A158" s="424"/>
      <c r="B158" s="268"/>
      <c r="C158" s="418"/>
      <c r="D158" s="414"/>
      <c r="E158" s="7" t="s">
        <v>262</v>
      </c>
      <c r="F158" s="100">
        <v>1430</v>
      </c>
      <c r="G158" s="81">
        <f t="shared" si="7"/>
        <v>1716</v>
      </c>
      <c r="H158" s="423"/>
    </row>
    <row r="159" spans="1:8" ht="267.75" x14ac:dyDescent="0.25">
      <c r="A159" s="424"/>
      <c r="B159" s="268"/>
      <c r="C159" s="11" t="s">
        <v>88</v>
      </c>
      <c r="D159" s="200" t="s">
        <v>569</v>
      </c>
      <c r="E159" s="7"/>
      <c r="F159" s="100">
        <v>221</v>
      </c>
      <c r="G159" s="81">
        <f t="shared" si="7"/>
        <v>265.2</v>
      </c>
      <c r="H159" s="10" t="s">
        <v>570</v>
      </c>
    </row>
    <row r="160" spans="1:8" x14ac:dyDescent="0.25">
      <c r="A160" s="424">
        <v>12</v>
      </c>
      <c r="B160" s="416" t="s">
        <v>274</v>
      </c>
      <c r="C160" s="422" t="s">
        <v>275</v>
      </c>
      <c r="D160" s="422"/>
      <c r="E160" s="422"/>
      <c r="F160" s="422"/>
      <c r="G160" s="422"/>
      <c r="H160" s="422"/>
    </row>
    <row r="161" spans="1:8" ht="63" x14ac:dyDescent="0.25">
      <c r="A161" s="424"/>
      <c r="B161" s="416"/>
      <c r="C161" s="418" t="s">
        <v>275</v>
      </c>
      <c r="D161" s="11" t="s">
        <v>571</v>
      </c>
      <c r="E161" s="418" t="s">
        <v>572</v>
      </c>
      <c r="F161" s="100">
        <v>2727</v>
      </c>
      <c r="G161" s="81">
        <f t="shared" si="7"/>
        <v>3272.4</v>
      </c>
      <c r="H161" s="10" t="s">
        <v>573</v>
      </c>
    </row>
    <row r="162" spans="1:8" ht="47.25" x14ac:dyDescent="0.25">
      <c r="A162" s="424"/>
      <c r="B162" s="416"/>
      <c r="C162" s="418"/>
      <c r="D162" s="9" t="s">
        <v>11</v>
      </c>
      <c r="E162" s="418"/>
      <c r="F162" s="78">
        <v>6836</v>
      </c>
      <c r="G162" s="81">
        <f t="shared" si="7"/>
        <v>8203.1999999999989</v>
      </c>
      <c r="H162" s="6" t="s">
        <v>574</v>
      </c>
    </row>
    <row r="163" spans="1:8" ht="110.25" x14ac:dyDescent="0.25">
      <c r="A163" s="424"/>
      <c r="B163" s="416"/>
      <c r="C163" s="418"/>
      <c r="D163" s="251" t="s">
        <v>575</v>
      </c>
      <c r="E163" s="418"/>
      <c r="F163" s="78">
        <v>850</v>
      </c>
      <c r="G163" s="81">
        <f t="shared" si="7"/>
        <v>1020</v>
      </c>
      <c r="H163" s="10" t="s">
        <v>576</v>
      </c>
    </row>
    <row r="164" spans="1:8" x14ac:dyDescent="0.25">
      <c r="A164" s="318">
        <v>13</v>
      </c>
      <c r="B164" s="321" t="s">
        <v>44</v>
      </c>
      <c r="C164" s="481" t="s">
        <v>157</v>
      </c>
      <c r="D164" s="482"/>
      <c r="E164" s="482"/>
      <c r="F164" s="482"/>
      <c r="G164" s="482"/>
      <c r="H164" s="483"/>
    </row>
    <row r="165" spans="1:8" x14ac:dyDescent="0.25">
      <c r="A165" s="319"/>
      <c r="B165" s="322"/>
      <c r="C165" s="418" t="s">
        <v>157</v>
      </c>
      <c r="D165" s="418" t="s">
        <v>45</v>
      </c>
      <c r="E165" s="246"/>
      <c r="F165" s="78">
        <v>631</v>
      </c>
      <c r="G165" s="81">
        <f t="shared" si="7"/>
        <v>757.19999999999993</v>
      </c>
      <c r="H165" s="10" t="s">
        <v>716</v>
      </c>
    </row>
    <row r="166" spans="1:8" x14ac:dyDescent="0.25">
      <c r="A166" s="319"/>
      <c r="B166" s="322"/>
      <c r="C166" s="418"/>
      <c r="D166" s="418"/>
      <c r="E166" s="246"/>
      <c r="F166" s="78">
        <v>479</v>
      </c>
      <c r="G166" s="81">
        <f t="shared" si="7"/>
        <v>574.79999999999995</v>
      </c>
      <c r="H166" s="11" t="s">
        <v>391</v>
      </c>
    </row>
    <row r="167" spans="1:8" x14ac:dyDescent="0.25">
      <c r="A167" s="320"/>
      <c r="B167" s="531"/>
      <c r="C167" s="418"/>
      <c r="D167" s="418"/>
      <c r="E167" s="246"/>
      <c r="F167" s="78">
        <v>834</v>
      </c>
      <c r="G167" s="81">
        <f t="shared" si="7"/>
        <v>1000.8</v>
      </c>
      <c r="H167" s="11" t="s">
        <v>577</v>
      </c>
    </row>
    <row r="168" spans="1:8" x14ac:dyDescent="0.25">
      <c r="A168" s="414">
        <v>14</v>
      </c>
      <c r="B168" s="416" t="s">
        <v>162</v>
      </c>
      <c r="C168" s="422" t="s">
        <v>163</v>
      </c>
      <c r="D168" s="422"/>
      <c r="E168" s="422"/>
      <c r="F168" s="422"/>
      <c r="G168" s="422"/>
      <c r="H168" s="422"/>
    </row>
    <row r="169" spans="1:8" ht="78.75" x14ac:dyDescent="0.25">
      <c r="A169" s="414"/>
      <c r="B169" s="416"/>
      <c r="C169" s="11" t="s">
        <v>163</v>
      </c>
      <c r="D169" s="11" t="s">
        <v>45</v>
      </c>
      <c r="E169" s="7"/>
      <c r="F169" s="78">
        <v>3852</v>
      </c>
      <c r="G169" s="81">
        <f t="shared" si="7"/>
        <v>4622.3999999999996</v>
      </c>
      <c r="H169" s="10" t="s">
        <v>578</v>
      </c>
    </row>
    <row r="170" spans="1:8" ht="56.25" customHeight="1" x14ac:dyDescent="0.25">
      <c r="A170" s="414"/>
      <c r="B170" s="416"/>
      <c r="C170" s="418" t="s">
        <v>163</v>
      </c>
      <c r="D170" s="200" t="s">
        <v>11</v>
      </c>
      <c r="E170" s="7" t="s">
        <v>354</v>
      </c>
      <c r="F170" s="78">
        <v>1832</v>
      </c>
      <c r="G170" s="81">
        <f t="shared" si="7"/>
        <v>2198.4</v>
      </c>
      <c r="H170" s="417" t="s">
        <v>579</v>
      </c>
    </row>
    <row r="171" spans="1:8" ht="54" customHeight="1" x14ac:dyDescent="0.25">
      <c r="A171" s="414"/>
      <c r="B171" s="416"/>
      <c r="C171" s="418"/>
      <c r="D171" s="200" t="s">
        <v>11</v>
      </c>
      <c r="E171" s="252" t="s">
        <v>206</v>
      </c>
      <c r="F171" s="78">
        <v>1832</v>
      </c>
      <c r="G171" s="81">
        <f t="shared" si="7"/>
        <v>2198.4</v>
      </c>
      <c r="H171" s="417"/>
    </row>
    <row r="172" spans="1:8" ht="31.5" x14ac:dyDescent="0.25">
      <c r="A172" s="216">
        <v>15</v>
      </c>
      <c r="B172" s="27" t="s">
        <v>285</v>
      </c>
      <c r="C172" s="10" t="s">
        <v>165</v>
      </c>
      <c r="D172" s="11" t="s">
        <v>153</v>
      </c>
      <c r="E172" s="252" t="s">
        <v>717</v>
      </c>
      <c r="F172" s="78">
        <v>142</v>
      </c>
      <c r="G172" s="81">
        <f t="shared" si="7"/>
        <v>170.4</v>
      </c>
      <c r="H172" s="10" t="s">
        <v>720</v>
      </c>
    </row>
    <row r="173" spans="1:8" ht="31.5" x14ac:dyDescent="0.25">
      <c r="A173" s="216">
        <v>16</v>
      </c>
      <c r="B173" s="27" t="s">
        <v>170</v>
      </c>
      <c r="C173" s="10" t="s">
        <v>167</v>
      </c>
      <c r="D173" s="11" t="s">
        <v>11</v>
      </c>
      <c r="E173" s="7"/>
      <c r="F173" s="100">
        <v>1252</v>
      </c>
      <c r="G173" s="100">
        <f>F173*1.2</f>
        <v>1502.3999999999999</v>
      </c>
      <c r="H173" s="10" t="s">
        <v>487</v>
      </c>
    </row>
    <row r="174" spans="1:8" x14ac:dyDescent="0.25">
      <c r="A174" s="414">
        <v>17</v>
      </c>
      <c r="B174" s="416" t="s">
        <v>175</v>
      </c>
      <c r="C174" s="422" t="s">
        <v>94</v>
      </c>
      <c r="D174" s="422"/>
      <c r="E174" s="422"/>
      <c r="F174" s="422"/>
      <c r="G174" s="422"/>
      <c r="H174" s="422"/>
    </row>
    <row r="175" spans="1:8" ht="31.5" x14ac:dyDescent="0.25">
      <c r="A175" s="414"/>
      <c r="B175" s="416"/>
      <c r="C175" s="417" t="s">
        <v>514</v>
      </c>
      <c r="D175" s="418" t="s">
        <v>3</v>
      </c>
      <c r="E175" s="421"/>
      <c r="F175" s="100">
        <v>371</v>
      </c>
      <c r="G175" s="100">
        <f>F175*1.2</f>
        <v>445.2</v>
      </c>
      <c r="H175" s="10" t="s">
        <v>515</v>
      </c>
    </row>
    <row r="176" spans="1:8" x14ac:dyDescent="0.25">
      <c r="A176" s="414"/>
      <c r="B176" s="416"/>
      <c r="C176" s="417"/>
      <c r="D176" s="418"/>
      <c r="E176" s="421"/>
      <c r="F176" s="415" t="s">
        <v>14</v>
      </c>
      <c r="G176" s="415"/>
      <c r="H176" s="10" t="s">
        <v>516</v>
      </c>
    </row>
    <row r="177" spans="1:8" x14ac:dyDescent="0.25">
      <c r="A177" s="414"/>
      <c r="B177" s="416"/>
      <c r="C177" s="417" t="s">
        <v>514</v>
      </c>
      <c r="D177" s="418" t="s">
        <v>11</v>
      </c>
      <c r="E177" s="7" t="s">
        <v>12</v>
      </c>
      <c r="F177" s="83">
        <v>3251</v>
      </c>
      <c r="G177" s="83">
        <f>F177*1.2</f>
        <v>3901.2</v>
      </c>
      <c r="H177" s="417" t="s">
        <v>580</v>
      </c>
    </row>
    <row r="178" spans="1:8" ht="31.5" x14ac:dyDescent="0.25">
      <c r="A178" s="414"/>
      <c r="B178" s="416"/>
      <c r="C178" s="417"/>
      <c r="D178" s="418"/>
      <c r="E178" s="252" t="s">
        <v>206</v>
      </c>
      <c r="F178" s="83">
        <v>4420</v>
      </c>
      <c r="G178" s="83">
        <f>F178*1.2</f>
        <v>5304</v>
      </c>
      <c r="H178" s="417"/>
    </row>
    <row r="179" spans="1:8" ht="78.75" x14ac:dyDescent="0.25">
      <c r="A179" s="414"/>
      <c r="B179" s="416"/>
      <c r="C179" s="10" t="s">
        <v>514</v>
      </c>
      <c r="D179" s="10" t="s">
        <v>3</v>
      </c>
      <c r="E179" s="10"/>
      <c r="F179" s="415" t="s">
        <v>14</v>
      </c>
      <c r="G179" s="415"/>
      <c r="H179" s="10" t="s">
        <v>93</v>
      </c>
    </row>
    <row r="180" spans="1:8" x14ac:dyDescent="0.25">
      <c r="A180" s="414"/>
      <c r="B180" s="416"/>
      <c r="C180" s="417" t="s">
        <v>514</v>
      </c>
      <c r="D180" s="418" t="s">
        <v>11</v>
      </c>
      <c r="E180" s="7" t="s">
        <v>262</v>
      </c>
      <c r="F180" s="83">
        <v>1540</v>
      </c>
      <c r="G180" s="83">
        <f>F180*1.2</f>
        <v>1848</v>
      </c>
      <c r="H180" s="417" t="s">
        <v>176</v>
      </c>
    </row>
    <row r="181" spans="1:8" x14ac:dyDescent="0.25">
      <c r="A181" s="414"/>
      <c r="B181" s="416"/>
      <c r="C181" s="417"/>
      <c r="D181" s="418"/>
      <c r="E181" s="7" t="s">
        <v>12</v>
      </c>
      <c r="F181" s="83">
        <v>2549</v>
      </c>
      <c r="G181" s="83">
        <f>F181*1.2</f>
        <v>3058.7999999999997</v>
      </c>
      <c r="H181" s="417"/>
    </row>
    <row r="182" spans="1:8" x14ac:dyDescent="0.25">
      <c r="A182" s="414"/>
      <c r="B182" s="416"/>
      <c r="C182" s="417"/>
      <c r="D182" s="418"/>
      <c r="E182" s="7" t="s">
        <v>13</v>
      </c>
      <c r="F182" s="83">
        <v>5101</v>
      </c>
      <c r="G182" s="83">
        <f>F182*1.2</f>
        <v>6121.2</v>
      </c>
      <c r="H182" s="417"/>
    </row>
    <row r="183" spans="1:8" x14ac:dyDescent="0.25">
      <c r="A183" s="414"/>
      <c r="B183" s="416"/>
      <c r="C183" s="417"/>
      <c r="D183" s="418"/>
      <c r="E183" s="7" t="s">
        <v>148</v>
      </c>
      <c r="F183" s="83">
        <v>5243</v>
      </c>
      <c r="G183" s="83">
        <f>F183*1.2</f>
        <v>6291.5999999999995</v>
      </c>
      <c r="H183" s="417"/>
    </row>
    <row r="184" spans="1:8" x14ac:dyDescent="0.25">
      <c r="A184" s="414"/>
      <c r="B184" s="416"/>
      <c r="C184" s="417"/>
      <c r="D184" s="11" t="s">
        <v>2</v>
      </c>
      <c r="E184" s="7" t="s">
        <v>2</v>
      </c>
      <c r="F184" s="83">
        <v>5438</v>
      </c>
      <c r="G184" s="83">
        <f>F184*1.2</f>
        <v>6525.5999999999995</v>
      </c>
      <c r="H184" s="417"/>
    </row>
    <row r="185" spans="1:8" x14ac:dyDescent="0.25">
      <c r="A185" s="414">
        <v>18</v>
      </c>
      <c r="B185" s="416" t="s">
        <v>297</v>
      </c>
      <c r="C185" s="413" t="s">
        <v>178</v>
      </c>
      <c r="D185" s="413"/>
      <c r="E185" s="413"/>
      <c r="F185" s="413"/>
      <c r="G185" s="413"/>
      <c r="H185" s="413"/>
    </row>
    <row r="186" spans="1:8" x14ac:dyDescent="0.25">
      <c r="A186" s="414"/>
      <c r="B186" s="416"/>
      <c r="C186" s="10" t="s">
        <v>581</v>
      </c>
      <c r="D186" s="418" t="s">
        <v>11</v>
      </c>
      <c r="E186" s="10" t="s">
        <v>582</v>
      </c>
      <c r="F186" s="417" t="s">
        <v>14</v>
      </c>
      <c r="G186" s="417"/>
      <c r="H186" s="248"/>
    </row>
    <row r="187" spans="1:8" ht="157.5" x14ac:dyDescent="0.25">
      <c r="A187" s="414"/>
      <c r="B187" s="416"/>
      <c r="C187" s="200" t="s">
        <v>583</v>
      </c>
      <c r="D187" s="418"/>
      <c r="E187" s="7" t="s">
        <v>290</v>
      </c>
      <c r="F187" s="83">
        <v>11284</v>
      </c>
      <c r="G187" s="83">
        <f>F187*1.2</f>
        <v>13540.8</v>
      </c>
      <c r="H187" s="53" t="s">
        <v>584</v>
      </c>
    </row>
    <row r="188" spans="1:8" x14ac:dyDescent="0.25">
      <c r="A188" s="414"/>
      <c r="B188" s="416"/>
      <c r="C188" s="200" t="s">
        <v>585</v>
      </c>
      <c r="D188" s="418"/>
      <c r="E188" s="7" t="s">
        <v>582</v>
      </c>
      <c r="F188" s="421" t="s">
        <v>14</v>
      </c>
      <c r="G188" s="421"/>
      <c r="H188" s="248"/>
    </row>
    <row r="189" spans="1:8" ht="63" x14ac:dyDescent="0.25">
      <c r="A189" s="414"/>
      <c r="B189" s="416"/>
      <c r="C189" s="200" t="s">
        <v>585</v>
      </c>
      <c r="D189" s="418"/>
      <c r="E189" s="7" t="s">
        <v>290</v>
      </c>
      <c r="F189" s="83">
        <v>5509</v>
      </c>
      <c r="G189" s="83">
        <f>F189*1.2</f>
        <v>6610.8</v>
      </c>
      <c r="H189" s="53" t="s">
        <v>301</v>
      </c>
    </row>
    <row r="190" spans="1:8" ht="47.25" x14ac:dyDescent="0.25">
      <c r="A190" s="419"/>
      <c r="B190" s="420"/>
      <c r="C190" s="200" t="s">
        <v>585</v>
      </c>
      <c r="D190" s="215" t="s">
        <v>63</v>
      </c>
      <c r="E190" s="215" t="s">
        <v>11</v>
      </c>
      <c r="F190" s="81">
        <v>4191</v>
      </c>
      <c r="G190" s="83">
        <f>F190*1.2</f>
        <v>5029.2</v>
      </c>
      <c r="H190" s="2" t="s">
        <v>586</v>
      </c>
    </row>
    <row r="191" spans="1:8" x14ac:dyDescent="0.25">
      <c r="A191" s="416" t="s">
        <v>46</v>
      </c>
      <c r="B191" s="416"/>
      <c r="C191" s="413" t="s">
        <v>47</v>
      </c>
      <c r="D191" s="413"/>
      <c r="E191" s="413"/>
      <c r="F191" s="413"/>
      <c r="G191" s="413"/>
      <c r="H191" s="413"/>
    </row>
    <row r="192" spans="1:8" x14ac:dyDescent="0.25">
      <c r="A192" s="33" t="s">
        <v>496</v>
      </c>
      <c r="B192" s="27" t="s">
        <v>437</v>
      </c>
      <c r="C192" s="10" t="s">
        <v>438</v>
      </c>
      <c r="D192" s="10" t="s">
        <v>2</v>
      </c>
      <c r="E192" s="7"/>
      <c r="F192" s="412" t="s">
        <v>14</v>
      </c>
      <c r="G192" s="412"/>
      <c r="H192" s="10"/>
    </row>
    <row r="193" spans="1:8" ht="31.5" x14ac:dyDescent="0.25">
      <c r="A193" s="33" t="s">
        <v>180</v>
      </c>
      <c r="B193" s="27" t="s">
        <v>306</v>
      </c>
      <c r="C193" s="10" t="s">
        <v>55</v>
      </c>
      <c r="D193" s="10" t="s">
        <v>11</v>
      </c>
      <c r="E193" s="197" t="s">
        <v>56</v>
      </c>
      <c r="F193" s="412" t="s">
        <v>14</v>
      </c>
      <c r="G193" s="412"/>
      <c r="H193" s="10" t="s">
        <v>95</v>
      </c>
    </row>
    <row r="194" spans="1:8" x14ac:dyDescent="0.25">
      <c r="A194" s="414">
        <v>21</v>
      </c>
      <c r="B194" s="416" t="s">
        <v>48</v>
      </c>
      <c r="C194" s="417" t="s">
        <v>49</v>
      </c>
      <c r="D194" s="418" t="s">
        <v>11</v>
      </c>
      <c r="E194" s="7" t="s">
        <v>12</v>
      </c>
      <c r="F194" s="412" t="s">
        <v>14</v>
      </c>
      <c r="G194" s="412"/>
      <c r="H194" s="10"/>
    </row>
    <row r="195" spans="1:8" ht="31.5" x14ac:dyDescent="0.25">
      <c r="A195" s="414"/>
      <c r="B195" s="416"/>
      <c r="C195" s="417"/>
      <c r="D195" s="418"/>
      <c r="E195" s="197" t="s">
        <v>206</v>
      </c>
      <c r="F195" s="412" t="s">
        <v>14</v>
      </c>
      <c r="G195" s="412"/>
      <c r="H195" s="10"/>
    </row>
    <row r="196" spans="1:8" ht="47.25" x14ac:dyDescent="0.25">
      <c r="A196" s="216">
        <v>22</v>
      </c>
      <c r="B196" s="27" t="s">
        <v>183</v>
      </c>
      <c r="C196" s="10" t="s">
        <v>184</v>
      </c>
      <c r="D196" s="11" t="s">
        <v>2</v>
      </c>
      <c r="E196" s="197"/>
      <c r="F196" s="412" t="s">
        <v>14</v>
      </c>
      <c r="G196" s="412"/>
      <c r="H196" s="197"/>
    </row>
    <row r="197" spans="1:8" x14ac:dyDescent="0.25">
      <c r="A197" s="318">
        <v>23</v>
      </c>
      <c r="B197" s="560" t="s">
        <v>313</v>
      </c>
      <c r="C197" s="264" t="s">
        <v>186</v>
      </c>
      <c r="D197" s="264"/>
      <c r="E197" s="264"/>
      <c r="F197" s="264"/>
      <c r="G197" s="264"/>
      <c r="H197" s="264"/>
    </row>
    <row r="198" spans="1:8" ht="63" x14ac:dyDescent="0.25">
      <c r="A198" s="319"/>
      <c r="B198" s="562"/>
      <c r="C198" s="10" t="s">
        <v>51</v>
      </c>
      <c r="D198" s="11"/>
      <c r="E198" s="10" t="s">
        <v>712</v>
      </c>
      <c r="F198" s="415" t="s">
        <v>14</v>
      </c>
      <c r="G198" s="415"/>
      <c r="H198" s="10" t="s">
        <v>587</v>
      </c>
    </row>
    <row r="199" spans="1:8" ht="63" x14ac:dyDescent="0.25">
      <c r="A199" s="320"/>
      <c r="B199" s="561"/>
      <c r="C199" s="10" t="s">
        <v>51</v>
      </c>
      <c r="D199" s="11" t="s">
        <v>11</v>
      </c>
      <c r="E199" s="247" t="s">
        <v>712</v>
      </c>
      <c r="F199" s="183">
        <v>212</v>
      </c>
      <c r="G199" s="183">
        <v>254.39999999999998</v>
      </c>
      <c r="H199" s="6" t="s">
        <v>64</v>
      </c>
    </row>
    <row r="200" spans="1:8" ht="47.25" x14ac:dyDescent="0.25">
      <c r="A200" s="216">
        <v>24</v>
      </c>
      <c r="B200" s="27" t="s">
        <v>316</v>
      </c>
      <c r="C200" s="10" t="s">
        <v>588</v>
      </c>
      <c r="D200" s="11" t="s">
        <v>3</v>
      </c>
      <c r="E200" s="197"/>
      <c r="F200" s="183">
        <v>2181.91</v>
      </c>
      <c r="G200" s="183">
        <v>2618.2919999999999</v>
      </c>
      <c r="H200" s="6"/>
    </row>
    <row r="201" spans="1:8" x14ac:dyDescent="0.25">
      <c r="A201" s="292" t="s">
        <v>190</v>
      </c>
      <c r="B201" s="292"/>
      <c r="C201" s="292" t="s">
        <v>191</v>
      </c>
      <c r="D201" s="292"/>
      <c r="E201" s="292"/>
      <c r="F201" s="292"/>
      <c r="G201" s="292"/>
      <c r="H201" s="292"/>
    </row>
    <row r="202" spans="1:8" x14ac:dyDescent="0.25">
      <c r="A202" s="257">
        <v>25</v>
      </c>
      <c r="B202" s="258" t="s">
        <v>192</v>
      </c>
      <c r="C202" s="257" t="s">
        <v>193</v>
      </c>
      <c r="D202" s="269" t="s">
        <v>194</v>
      </c>
      <c r="E202" s="32" t="s">
        <v>12</v>
      </c>
      <c r="F202" s="78">
        <v>1396</v>
      </c>
      <c r="G202" s="78">
        <f>F202*1.2</f>
        <v>1675.2</v>
      </c>
      <c r="H202" s="296" t="s">
        <v>589</v>
      </c>
    </row>
    <row r="203" spans="1:8" x14ac:dyDescent="0.25">
      <c r="A203" s="257"/>
      <c r="B203" s="258"/>
      <c r="C203" s="257"/>
      <c r="D203" s="269"/>
      <c r="E203" s="32" t="s">
        <v>13</v>
      </c>
      <c r="F203" s="78">
        <v>1396</v>
      </c>
      <c r="G203" s="78">
        <f>F203*1.2</f>
        <v>1675.2</v>
      </c>
      <c r="H203" s="296"/>
    </row>
    <row r="204" spans="1:8" ht="157.5" x14ac:dyDescent="0.25">
      <c r="A204" s="76">
        <v>26</v>
      </c>
      <c r="B204" s="13" t="s">
        <v>319</v>
      </c>
      <c r="C204" s="2" t="s">
        <v>196</v>
      </c>
      <c r="D204" s="39" t="s">
        <v>194</v>
      </c>
      <c r="E204" s="32"/>
      <c r="F204" s="78">
        <v>458</v>
      </c>
      <c r="G204" s="78">
        <f>F204*1.2</f>
        <v>549.6</v>
      </c>
      <c r="H204" s="96" t="s">
        <v>590</v>
      </c>
    </row>
    <row r="205" spans="1:8" ht="24.75" customHeight="1" x14ac:dyDescent="0.25">
      <c r="A205" s="257">
        <v>27</v>
      </c>
      <c r="B205" s="258" t="s">
        <v>591</v>
      </c>
      <c r="C205" s="267" t="s">
        <v>322</v>
      </c>
      <c r="D205" s="19" t="s">
        <v>11</v>
      </c>
      <c r="E205" s="19" t="s">
        <v>12</v>
      </c>
      <c r="F205" s="78">
        <v>2269</v>
      </c>
      <c r="G205" s="78">
        <f>F205*1.2</f>
        <v>2722.7999999999997</v>
      </c>
      <c r="H205" s="267" t="s">
        <v>592</v>
      </c>
    </row>
    <row r="206" spans="1:8" ht="24.75" customHeight="1" x14ac:dyDescent="0.25">
      <c r="A206" s="409"/>
      <c r="B206" s="408"/>
      <c r="C206" s="411"/>
      <c r="D206" s="19" t="s">
        <v>11</v>
      </c>
      <c r="E206" s="19" t="s">
        <v>13</v>
      </c>
      <c r="F206" s="78">
        <v>2450</v>
      </c>
      <c r="G206" s="78">
        <f>F206*1.2</f>
        <v>2940</v>
      </c>
      <c r="H206" s="267"/>
    </row>
    <row r="207" spans="1:8" x14ac:dyDescent="0.25">
      <c r="A207" s="225"/>
      <c r="B207" s="225"/>
      <c r="C207" s="225"/>
      <c r="D207" s="225"/>
      <c r="E207" s="225"/>
      <c r="F207" s="225"/>
      <c r="G207" s="249"/>
      <c r="H207" s="249"/>
    </row>
    <row r="208" spans="1:8" x14ac:dyDescent="0.25">
      <c r="A208" s="217" t="s">
        <v>65</v>
      </c>
      <c r="B208" s="217"/>
      <c r="C208" s="217"/>
      <c r="D208" s="218"/>
      <c r="E208" s="218"/>
      <c r="F208" s="225"/>
      <c r="G208" s="249"/>
      <c r="H208" s="249"/>
    </row>
    <row r="209" spans="1:8" x14ac:dyDescent="0.25">
      <c r="A209" s="217"/>
      <c r="B209" s="217"/>
      <c r="C209" s="217"/>
      <c r="D209" s="219"/>
      <c r="E209" s="218"/>
      <c r="F209" s="225"/>
      <c r="G209" s="249"/>
      <c r="H209" s="249"/>
    </row>
    <row r="210" spans="1:8" x14ac:dyDescent="0.25">
      <c r="A210" s="217" t="s">
        <v>96</v>
      </c>
      <c r="B210" s="217"/>
      <c r="C210" s="217"/>
      <c r="D210" s="219"/>
      <c r="E210" s="220" t="s">
        <v>333</v>
      </c>
      <c r="F210" s="225"/>
      <c r="G210" s="249"/>
      <c r="H210" s="249"/>
    </row>
    <row r="211" spans="1:8" x14ac:dyDescent="0.25">
      <c r="A211" s="217"/>
      <c r="B211" s="217"/>
      <c r="C211" s="217"/>
      <c r="D211" s="219"/>
      <c r="E211" s="225"/>
      <c r="F211" s="225"/>
      <c r="G211" s="249"/>
      <c r="H211" s="249"/>
    </row>
    <row r="212" spans="1:8" x14ac:dyDescent="0.25">
      <c r="A212" s="217" t="s">
        <v>66</v>
      </c>
      <c r="B212" s="217"/>
      <c r="C212" s="217"/>
      <c r="D212" s="219"/>
      <c r="E212" s="250" t="s">
        <v>334</v>
      </c>
      <c r="F212" s="225"/>
      <c r="G212" s="249"/>
      <c r="H212" s="249"/>
    </row>
    <row r="213" spans="1:8" x14ac:dyDescent="0.25">
      <c r="A213" s="217"/>
      <c r="B213" s="217"/>
      <c r="C213" s="217"/>
      <c r="D213" s="219"/>
      <c r="E213" s="250"/>
      <c r="F213" s="225"/>
      <c r="G213" s="249"/>
      <c r="H213" s="249"/>
    </row>
    <row r="214" spans="1:8" x14ac:dyDescent="0.25">
      <c r="A214" s="217" t="s">
        <v>68</v>
      </c>
      <c r="B214" s="217"/>
      <c r="C214" s="217"/>
      <c r="D214" s="219"/>
      <c r="E214" s="250" t="s">
        <v>335</v>
      </c>
      <c r="F214" s="225"/>
      <c r="G214" s="249"/>
      <c r="H214" s="249"/>
    </row>
    <row r="215" spans="1:8" x14ac:dyDescent="0.25">
      <c r="A215" s="217"/>
      <c r="B215" s="217"/>
      <c r="C215" s="217"/>
      <c r="D215" s="219"/>
      <c r="E215" s="250"/>
      <c r="F215" s="225"/>
      <c r="G215" s="249"/>
      <c r="H215" s="249"/>
    </row>
    <row r="216" spans="1:8" x14ac:dyDescent="0.25">
      <c r="A216" s="217" t="s">
        <v>593</v>
      </c>
      <c r="B216" s="217"/>
      <c r="C216" s="217"/>
      <c r="D216" s="219"/>
      <c r="E216" s="250" t="s">
        <v>671</v>
      </c>
      <c r="F216" s="225"/>
      <c r="G216" s="249"/>
      <c r="H216" s="249"/>
    </row>
    <row r="217" spans="1:8" x14ac:dyDescent="0.25">
      <c r="A217" s="217"/>
      <c r="B217" s="217"/>
      <c r="C217" s="217"/>
      <c r="D217" s="221"/>
      <c r="E217" s="225"/>
      <c r="F217" s="225"/>
      <c r="G217" s="249"/>
      <c r="H217" s="249"/>
    </row>
    <row r="218" spans="1:8" x14ac:dyDescent="0.25">
      <c r="A218" s="217" t="s">
        <v>594</v>
      </c>
      <c r="B218" s="217"/>
      <c r="C218" s="217"/>
      <c r="D218" s="221"/>
      <c r="E218" s="250" t="s">
        <v>670</v>
      </c>
      <c r="F218" s="225"/>
      <c r="G218" s="249"/>
      <c r="H218" s="249"/>
    </row>
  </sheetData>
  <mergeCells count="215">
    <mergeCell ref="C164:H164"/>
    <mergeCell ref="B164:B167"/>
    <mergeCell ref="A164:A167"/>
    <mergeCell ref="B197:B199"/>
    <mergeCell ref="A197:A199"/>
    <mergeCell ref="A15:A17"/>
    <mergeCell ref="B15:B17"/>
    <mergeCell ref="C15:C17"/>
    <mergeCell ref="D15:D16"/>
    <mergeCell ref="F15:G15"/>
    <mergeCell ref="H15:H17"/>
    <mergeCell ref="F16:G16"/>
    <mergeCell ref="F17:G17"/>
    <mergeCell ref="A7:H7"/>
    <mergeCell ref="A8:H8"/>
    <mergeCell ref="A9:H9"/>
    <mergeCell ref="A10:H10"/>
    <mergeCell ref="A13:H13"/>
    <mergeCell ref="A14:B14"/>
    <mergeCell ref="C14:H14"/>
    <mergeCell ref="A21:A23"/>
    <mergeCell ref="B21:B23"/>
    <mergeCell ref="C21:C23"/>
    <mergeCell ref="D21:D22"/>
    <mergeCell ref="F21:G21"/>
    <mergeCell ref="H21:H23"/>
    <mergeCell ref="F22:G22"/>
    <mergeCell ref="F23:G23"/>
    <mergeCell ref="A18:A20"/>
    <mergeCell ref="B18:B20"/>
    <mergeCell ref="C18:C20"/>
    <mergeCell ref="D18:D19"/>
    <mergeCell ref="F18:G18"/>
    <mergeCell ref="H18:H20"/>
    <mergeCell ref="F19:G19"/>
    <mergeCell ref="F20:G20"/>
    <mergeCell ref="C37:C38"/>
    <mergeCell ref="C39:C40"/>
    <mergeCell ref="C41:C42"/>
    <mergeCell ref="C43:C44"/>
    <mergeCell ref="C45:C46"/>
    <mergeCell ref="C47:C48"/>
    <mergeCell ref="A24:A94"/>
    <mergeCell ref="B24:B94"/>
    <mergeCell ref="C24:H24"/>
    <mergeCell ref="C25:C26"/>
    <mergeCell ref="C27:C30"/>
    <mergeCell ref="C31:C32"/>
    <mergeCell ref="H31:H94"/>
    <mergeCell ref="C33:C34"/>
    <mergeCell ref="C35:C36"/>
    <mergeCell ref="H25:H29"/>
    <mergeCell ref="C61:C62"/>
    <mergeCell ref="C63:C64"/>
    <mergeCell ref="C65:C66"/>
    <mergeCell ref="C67:C68"/>
    <mergeCell ref="C69:C70"/>
    <mergeCell ref="C71:C72"/>
    <mergeCell ref="C49:C50"/>
    <mergeCell ref="C51:C52"/>
    <mergeCell ref="C53:C54"/>
    <mergeCell ref="C55:C56"/>
    <mergeCell ref="C57:C58"/>
    <mergeCell ref="C59:C60"/>
    <mergeCell ref="C85:C86"/>
    <mergeCell ref="C87:C88"/>
    <mergeCell ref="C89:C90"/>
    <mergeCell ref="C91:C92"/>
    <mergeCell ref="C93:C94"/>
    <mergeCell ref="A95:A97"/>
    <mergeCell ref="B95:B97"/>
    <mergeCell ref="C95:C97"/>
    <mergeCell ref="C73:C74"/>
    <mergeCell ref="C75:C76"/>
    <mergeCell ref="C77:C78"/>
    <mergeCell ref="C79:C80"/>
    <mergeCell ref="C81:C82"/>
    <mergeCell ref="C83:C84"/>
    <mergeCell ref="D95:D96"/>
    <mergeCell ref="F95:G95"/>
    <mergeCell ref="H95:H97"/>
    <mergeCell ref="F96:G96"/>
    <mergeCell ref="F97:G97"/>
    <mergeCell ref="A98:A106"/>
    <mergeCell ref="B98:B106"/>
    <mergeCell ref="C98:H98"/>
    <mergeCell ref="C99:C101"/>
    <mergeCell ref="D99:D106"/>
    <mergeCell ref="C102:C104"/>
    <mergeCell ref="C105:C106"/>
    <mergeCell ref="A107:H107"/>
    <mergeCell ref="A108:B108"/>
    <mergeCell ref="C108:H108"/>
    <mergeCell ref="A109:A111"/>
    <mergeCell ref="B109:B111"/>
    <mergeCell ref="C109:C111"/>
    <mergeCell ref="D109:D110"/>
    <mergeCell ref="F109:G109"/>
    <mergeCell ref="H109:H111"/>
    <mergeCell ref="F110:G110"/>
    <mergeCell ref="F111:G111"/>
    <mergeCell ref="A112:A121"/>
    <mergeCell ref="B112:B121"/>
    <mergeCell ref="C112:C121"/>
    <mergeCell ref="F112:G112"/>
    <mergeCell ref="H112:H113"/>
    <mergeCell ref="F113:G113"/>
    <mergeCell ref="D114:D116"/>
    <mergeCell ref="F122:G122"/>
    <mergeCell ref="H122:H124"/>
    <mergeCell ref="F123:G123"/>
    <mergeCell ref="F124:G124"/>
    <mergeCell ref="A125:B125"/>
    <mergeCell ref="C125:H125"/>
    <mergeCell ref="E114:E116"/>
    <mergeCell ref="D117:D119"/>
    <mergeCell ref="E117:E119"/>
    <mergeCell ref="D120:D121"/>
    <mergeCell ref="A122:A124"/>
    <mergeCell ref="B122:B124"/>
    <mergeCell ref="C122:C124"/>
    <mergeCell ref="D122:D123"/>
    <mergeCell ref="D130:D131"/>
    <mergeCell ref="E130:E131"/>
    <mergeCell ref="F130:F131"/>
    <mergeCell ref="G130:G131"/>
    <mergeCell ref="D132:D133"/>
    <mergeCell ref="E132:E133"/>
    <mergeCell ref="A126:A135"/>
    <mergeCell ref="B126:B135"/>
    <mergeCell ref="C126:H126"/>
    <mergeCell ref="C127:C128"/>
    <mergeCell ref="D127:D129"/>
    <mergeCell ref="E127:E129"/>
    <mergeCell ref="F127:F128"/>
    <mergeCell ref="G127:G128"/>
    <mergeCell ref="H127:H133"/>
    <mergeCell ref="C130:C131"/>
    <mergeCell ref="C134:C135"/>
    <mergeCell ref="D134:D135"/>
    <mergeCell ref="H134:H135"/>
    <mergeCell ref="A136:A159"/>
    <mergeCell ref="B136:B159"/>
    <mergeCell ref="C136:H136"/>
    <mergeCell ref="C137:C139"/>
    <mergeCell ref="D137:D142"/>
    <mergeCell ref="H137:H142"/>
    <mergeCell ref="C140:C142"/>
    <mergeCell ref="C155:C158"/>
    <mergeCell ref="D155:D158"/>
    <mergeCell ref="H155:H158"/>
    <mergeCell ref="A160:A163"/>
    <mergeCell ref="B160:B163"/>
    <mergeCell ref="C160:H160"/>
    <mergeCell ref="C161:C163"/>
    <mergeCell ref="E161:E163"/>
    <mergeCell ref="C143:C145"/>
    <mergeCell ref="D143:D151"/>
    <mergeCell ref="H143:H151"/>
    <mergeCell ref="C146:C148"/>
    <mergeCell ref="C149:C151"/>
    <mergeCell ref="C152:C154"/>
    <mergeCell ref="D152:D154"/>
    <mergeCell ref="H152:H154"/>
    <mergeCell ref="C165:C167"/>
    <mergeCell ref="D165:D167"/>
    <mergeCell ref="A168:A171"/>
    <mergeCell ref="B168:B171"/>
    <mergeCell ref="C168:H168"/>
    <mergeCell ref="C170:C171"/>
    <mergeCell ref="H170:H171"/>
    <mergeCell ref="F179:G179"/>
    <mergeCell ref="C180:C184"/>
    <mergeCell ref="D180:D183"/>
    <mergeCell ref="H180:H184"/>
    <mergeCell ref="A185:A190"/>
    <mergeCell ref="B185:B190"/>
    <mergeCell ref="C185:H185"/>
    <mergeCell ref="D186:D189"/>
    <mergeCell ref="F186:G186"/>
    <mergeCell ref="F188:G188"/>
    <mergeCell ref="A174:A184"/>
    <mergeCell ref="B174:B184"/>
    <mergeCell ref="C174:H174"/>
    <mergeCell ref="C175:C176"/>
    <mergeCell ref="D175:D176"/>
    <mergeCell ref="E175:E176"/>
    <mergeCell ref="F176:G176"/>
    <mergeCell ref="C177:C178"/>
    <mergeCell ref="D177:D178"/>
    <mergeCell ref="H177:H178"/>
    <mergeCell ref="F196:G196"/>
    <mergeCell ref="C197:H197"/>
    <mergeCell ref="F198:G198"/>
    <mergeCell ref="A201:B201"/>
    <mergeCell ref="C201:H201"/>
    <mergeCell ref="A191:B191"/>
    <mergeCell ref="C191:H191"/>
    <mergeCell ref="F192:G192"/>
    <mergeCell ref="F193:G193"/>
    <mergeCell ref="A194:A195"/>
    <mergeCell ref="B194:B195"/>
    <mergeCell ref="C194:C195"/>
    <mergeCell ref="D194:D195"/>
    <mergeCell ref="F194:G194"/>
    <mergeCell ref="F195:G195"/>
    <mergeCell ref="A202:A203"/>
    <mergeCell ref="B202:B203"/>
    <mergeCell ref="C202:C203"/>
    <mergeCell ref="D202:D203"/>
    <mergeCell ref="H202:H203"/>
    <mergeCell ref="A205:A206"/>
    <mergeCell ref="B205:B206"/>
    <mergeCell ref="C205:C206"/>
    <mergeCell ref="H205:H20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Заячья Горка</vt:lpstr>
      <vt:lpstr>Блочная</vt:lpstr>
      <vt:lpstr>Екатеринбург-Тов.</vt:lpstr>
      <vt:lpstr>Войновка</vt:lpstr>
      <vt:lpstr>Сургут</vt:lpstr>
      <vt:lpstr>Нижневартовск</vt:lpstr>
      <vt:lpstr>Курган</vt:lpstr>
      <vt:lpstr>Оренбург</vt:lpstr>
      <vt:lpstr>Челябинск</vt:lpstr>
      <vt:lpstr>Магнитогорск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Selezneva IV</dc:creator>
  <cp:lastModifiedBy>Корепанова Анна Павловна</cp:lastModifiedBy>
  <cp:lastPrinted>2021-05-24T05:46:36Z</cp:lastPrinted>
  <dcterms:created xsi:type="dcterms:W3CDTF">2015-01-15T11:40:30Z</dcterms:created>
  <dcterms:modified xsi:type="dcterms:W3CDTF">2024-03-27T09:35:43Z</dcterms:modified>
</cp:coreProperties>
</file>